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\IFRS_reports\Year 2026\1Q\Final\Report\Датабук\"/>
    </mc:Choice>
  </mc:AlternateContent>
  <xr:revisionPtr revIDLastSave="0" documentId="13_ncr:1_{B662ADA3-3DC3-4F37-99B7-75C548B8B9BA}" xr6:coauthVersionLast="47" xr6:coauthVersionMax="47" xr10:uidLastSave="{00000000-0000-0000-0000-000000000000}"/>
  <bookViews>
    <workbookView xWindow="-120" yWindow="-120" windowWidth="29040" windowHeight="15840" activeTab="4" xr2:uid="{8A6E8CA9-D0A9-2D4D-A12F-46A719ADBA83}"/>
  </bookViews>
  <sheets>
    <sheet name=" BS" sheetId="1" r:id="rId1"/>
    <sheet name="PL накопленные данные" sheetId="3" r:id="rId2"/>
    <sheet name="PL по кварталам" sheetId="2" r:id="rId3"/>
    <sheet name="Показатели эффективности" sheetId="16" r:id="rId4"/>
    <sheet name="Качество портфеля" sheetId="7" r:id="rId5"/>
  </sheets>
  <externalReferences>
    <externalReference r:id="rId6"/>
    <externalReference r:id="rId7"/>
    <externalReference r:id="rId8"/>
    <externalReference r:id="rId9"/>
  </externalReferences>
  <definedNames>
    <definedName name="_date_period_comp_1">[1]gen!$E$18</definedName>
    <definedName name="_date_period_comp_2">[2]gen!$F$18</definedName>
    <definedName name="_date_period_cur_1">[1]gen!$E$17</definedName>
    <definedName name="_date_period_cur_2">[2]gen!$F$17</definedName>
    <definedName name="_date_quater_comp_1">[3]gen!$E$20</definedName>
    <definedName name="_date_quater_cur_1">[2]gen!$E$19</definedName>
    <definedName name="_date_RD_CY_1">[3]gen!$E$13</definedName>
    <definedName name="_date_RD_CY_2">[1]gen!$F$13</definedName>
    <definedName name="_date_RD_PPY_2">[1]gen!$F$16</definedName>
    <definedName name="_date_RD_PY_1">[1]gen!$E$14</definedName>
    <definedName name="_date_RD_PY_2">[1]gen!$F$14</definedName>
    <definedName name="_FS_BS">#REF!</definedName>
    <definedName name="_FS_CF">#REF!</definedName>
    <definedName name="_FS_CF_cont">#REF!</definedName>
    <definedName name="_FS_PL">#REF!</definedName>
    <definedName name="_FS_sign">#REF!</definedName>
    <definedName name="_note_banks_a_1">#REF!</definedName>
    <definedName name="_note_banks_a_2">#REF!</definedName>
    <definedName name="_note_banks_a_text_4">#REF!</definedName>
    <definedName name="_note_banks_a_text1">#REF!</definedName>
    <definedName name="_note_banks_a_text2">#REF!</definedName>
    <definedName name="_note_banks_a_text3">#REF!</definedName>
    <definedName name="_note_banks_prov">#REF!</definedName>
    <definedName name="_note_banks_prov_3m">#REF!</definedName>
    <definedName name="_note_banks_quality">#REF!</definedName>
    <definedName name="_note_banks_quality_comp">#REF!</definedName>
    <definedName name="_note_banks_roll_gross">#REF!</definedName>
    <definedName name="_note_banks_roll_gross_comp">#REF!</definedName>
    <definedName name="_note_basel_text">#REF!</definedName>
    <definedName name="_note_basel1">#REF!</definedName>
    <definedName name="_note_CA_text1">'[1]Cutomer accounts'!#REF!</definedName>
    <definedName name="_note_CA_text2">'[1]Cutomer accounts'!#REF!</definedName>
    <definedName name="_note_cash_1">[1]Cash!#REF!</definedName>
    <definedName name="_note_cash_text">[1]Cash!#REF!</definedName>
    <definedName name="_note_CF_fin_recons_comp">#REF!</definedName>
    <definedName name="_note_commit_prov">#REF!</definedName>
    <definedName name="_note_commit_prov_comp">#REF!</definedName>
    <definedName name="_note_cont_liab">#REF!</definedName>
    <definedName name="_note_cur_rsk_sens">#REF!</definedName>
    <definedName name="_note_currisk">#REF!</definedName>
    <definedName name="_note_currisk_comp">#REF!</definedName>
    <definedName name="_note_currisk_drv">#REF!</definedName>
    <definedName name="_note_currisk_drv_comp">#REF!</definedName>
    <definedName name="_note_currisk_spot">#REF!</definedName>
    <definedName name="_note_currisk_spot_comp">#REF!</definedName>
    <definedName name="_note_DRV">#REF!</definedName>
    <definedName name="_note_DRV_comp">#REF!</definedName>
    <definedName name="_note_DRV_pl">#REF!</definedName>
    <definedName name="_note_exch_1">#REF!</definedName>
    <definedName name="_note_exch_2">#REF!</definedName>
    <definedName name="_note_f_and_c">#REF!</definedName>
    <definedName name="_note_FV_1">#REF!</definedName>
    <definedName name="_note_FV_2">#REF!</definedName>
    <definedName name="_note_FV_2_det">#REF!</definedName>
    <definedName name="_note_FV_2_det_comp">#REF!</definedName>
    <definedName name="_note_FV_comp">#REF!</definedName>
    <definedName name="_note_FV_lev2">#REF!</definedName>
    <definedName name="_note_FV_lev2_comp">#REF!</definedName>
    <definedName name="_note_FX_pl">#REF!</definedName>
    <definedName name="_note_geo">#REF!</definedName>
    <definedName name="_note_geo_comp">#REF!</definedName>
    <definedName name="_note_IND_over">#REF!</definedName>
    <definedName name="_note_ind_over_comp">#REF!</definedName>
    <definedName name="_note_inv_prop">#REF!</definedName>
    <definedName name="_note_invpr_txt_1">#REF!</definedName>
    <definedName name="_note_invpr_txt_2">#REF!</definedName>
    <definedName name="_note_IR_sens">#REF!</definedName>
    <definedName name="_note_joint_SRN1">#REF!</definedName>
    <definedName name="_note_lc_1">[1]Loans1!#REF!</definedName>
    <definedName name="_note_lc_le_roll_comp_sh">#REF!</definedName>
    <definedName name="_note_lc_text1">[1]Loans1!#REF!</definedName>
    <definedName name="_note_lc_text2">[1]Loans1!#REF!</definedName>
    <definedName name="_note_lc_text3">[1]Loans1!#REF!</definedName>
    <definedName name="_note_lc_text5">[1]Loans1!#REF!</definedName>
    <definedName name="_note_lc_text8">[1]Loans1!#REF!</definedName>
    <definedName name="_note_liq_offbs">#REF!</definedName>
    <definedName name="_note_liq_offbs_comp">#REF!</definedName>
    <definedName name="_note_liq_undisc">#REF!</definedName>
    <definedName name="_note_liq_undisc_comp">#REF!</definedName>
    <definedName name="_note_max_exposure">#REF!</definedName>
    <definedName name="_note_NET_INT">#REF!</definedName>
    <definedName name="_note_OA_txt">'[1]Other assets'!#REF!</definedName>
    <definedName name="_note_OL_txt">'[1]Other liabilities'!#REF!</definedName>
    <definedName name="_note_OPEX">#REF!</definedName>
    <definedName name="_note_other_inc">#REF!</definedName>
    <definedName name="_note_PIF_disp">#REF!</definedName>
    <definedName name="_note_PROV_INT">#REF!</definedName>
    <definedName name="_note_PROV_other">#REF!</definedName>
    <definedName name="_note_prov_other_3m">#REF!</definedName>
    <definedName name="_note_prov_roll_ind">#REF!</definedName>
    <definedName name="_note_prov_roll_le">#REF!</definedName>
    <definedName name="_note_RC_BS">#REF!</definedName>
    <definedName name="_note_RC_PL">#REF!</definedName>
    <definedName name="_note_risk_liq_1">#REF!</definedName>
    <definedName name="_note_risk_liq_1_comp">#REF!</definedName>
    <definedName name="_note_roll_prov_ind_3m">#REF!</definedName>
    <definedName name="_note_rp_bs1">#REF!</definedName>
    <definedName name="_note_rp_bs2">#REF!</definedName>
    <definedName name="_note_rp_key">#REF!</definedName>
    <definedName name="_note_rp_pl1">#REF!</definedName>
    <definedName name="_note_rp_pl2">#REF!</definedName>
    <definedName name="_note_SC">#REF!</definedName>
    <definedName name="_note_SC_txt_1">#REF!</definedName>
    <definedName name="_note_SC_txt_2">#REF!</definedName>
    <definedName name="_note_SC_txt_3">#REF!</definedName>
    <definedName name="_note_SC_txt_4">#REF!</definedName>
    <definedName name="_note_sec">#REF!</definedName>
    <definedName name="_note_sec_FVTPL_pl">#REF!</definedName>
    <definedName name="_note_sec_gross_roll">#REF!</definedName>
    <definedName name="_note_sec_gross_roll_comp">#REF!</definedName>
    <definedName name="_note_sec_pledge">#REF!</definedName>
    <definedName name="_note_sec_prov">#REF!</definedName>
    <definedName name="_note_sec_prov_3m">#REF!</definedName>
    <definedName name="_note_SH">#REF!</definedName>
    <definedName name="_note_SH_text">#REF!</definedName>
    <definedName name="_Order1" hidden="1">255</definedName>
    <definedName name="_Order2" hidden="1">255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sdf">[4]gen!$F$16</definedName>
    <definedName name="TextRefCopyRangeCount" hidden="1">2</definedName>
    <definedName name="X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2" l="1"/>
  <c r="O81" i="2"/>
  <c r="N81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39" i="2"/>
  <c r="N39" i="2"/>
  <c r="M39" i="2"/>
  <c r="O38" i="2"/>
  <c r="N38" i="2"/>
  <c r="M38" i="2"/>
  <c r="O37" i="2"/>
  <c r="N37" i="2"/>
  <c r="M37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75" i="2"/>
  <c r="N75" i="2"/>
  <c r="M75" i="2"/>
  <c r="O35" i="2"/>
  <c r="N35" i="2"/>
  <c r="M35" i="2"/>
  <c r="O34" i="2"/>
  <c r="N34" i="2"/>
  <c r="M34" i="2"/>
  <c r="O33" i="2"/>
  <c r="N33" i="2"/>
  <c r="M33" i="2"/>
  <c r="L33" i="2"/>
  <c r="O32" i="2"/>
  <c r="N32" i="2"/>
  <c r="M32" i="2"/>
  <c r="O31" i="2"/>
  <c r="N31" i="2"/>
  <c r="M31" i="2"/>
  <c r="O29" i="2"/>
  <c r="N29" i="2"/>
  <c r="M29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H39" i="2"/>
  <c r="G36" i="2"/>
  <c r="L39" i="2"/>
  <c r="K39" i="2"/>
  <c r="I39" i="2"/>
  <c r="G39" i="2"/>
  <c r="F39" i="2"/>
  <c r="E39" i="2"/>
  <c r="D39" i="2"/>
  <c r="O36" i="2"/>
  <c r="N36" i="2"/>
  <c r="M36" i="2"/>
  <c r="L36" i="2"/>
  <c r="L30" i="2" s="1"/>
  <c r="K36" i="2"/>
  <c r="K30" i="2" s="1"/>
  <c r="J36" i="2"/>
  <c r="I36" i="2"/>
  <c r="I30" i="2" s="1"/>
  <c r="H36" i="2"/>
  <c r="F36" i="2"/>
  <c r="E36" i="2"/>
  <c r="D36" i="2"/>
  <c r="D30" i="2" s="1"/>
  <c r="E30" i="2" l="1"/>
  <c r="F30" i="2"/>
  <c r="J39" i="2"/>
  <c r="J30" i="2" s="1"/>
  <c r="H30" i="2"/>
  <c r="H59" i="2" s="1"/>
  <c r="H73" i="2" s="1"/>
  <c r="H77" i="2" s="1"/>
  <c r="H48" i="2"/>
  <c r="O30" i="2"/>
  <c r="N30" i="2"/>
  <c r="G30" i="2"/>
  <c r="M30" i="2"/>
  <c r="P57" i="2" l="1"/>
  <c r="P52" i="2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P70" i="2"/>
  <c r="P69" i="2"/>
  <c r="P68" i="2"/>
  <c r="P67" i="2"/>
  <c r="P66" i="2"/>
  <c r="P65" i="2"/>
  <c r="P64" i="2"/>
  <c r="P63" i="2"/>
  <c r="P62" i="2"/>
  <c r="P55" i="2"/>
  <c r="P54" i="2"/>
  <c r="P45" i="2" l="1"/>
  <c r="P38" i="2" l="1"/>
  <c r="P14" i="2" l="1"/>
  <c r="O42" i="7" l="1"/>
  <c r="N42" i="7"/>
  <c r="O41" i="7"/>
  <c r="N41" i="7"/>
  <c r="O39" i="7"/>
  <c r="O43" i="7" s="1"/>
  <c r="N39" i="7"/>
  <c r="N43" i="7" s="1"/>
  <c r="O35" i="7"/>
  <c r="N35" i="7"/>
  <c r="O31" i="7"/>
  <c r="N31" i="7"/>
  <c r="O22" i="7"/>
  <c r="N22" i="7"/>
  <c r="O21" i="7"/>
  <c r="O23" i="7" s="1"/>
  <c r="N21" i="7"/>
  <c r="N23" i="7" s="1"/>
  <c r="O19" i="7"/>
  <c r="N19" i="7"/>
  <c r="O15" i="7"/>
  <c r="N15" i="7"/>
  <c r="O11" i="7"/>
  <c r="N11" i="7"/>
  <c r="M88" i="2"/>
  <c r="M87" i="2"/>
  <c r="N61" i="2"/>
  <c r="L61" i="2"/>
  <c r="N40" i="2"/>
  <c r="L40" i="2"/>
  <c r="L59" i="2" s="1"/>
  <c r="L20" i="2"/>
  <c r="L18" i="2"/>
  <c r="L27" i="2" s="1"/>
  <c r="O5" i="2"/>
  <c r="P88" i="3"/>
  <c r="Q88" i="3" s="1"/>
  <c r="O80" i="3"/>
  <c r="Q61" i="3"/>
  <c r="P61" i="3"/>
  <c r="O61" i="3"/>
  <c r="N61" i="3"/>
  <c r="Q56" i="3"/>
  <c r="P56" i="3"/>
  <c r="Q40" i="3"/>
  <c r="P40" i="3"/>
  <c r="O40" i="3"/>
  <c r="N40" i="3"/>
  <c r="N48" i="3" s="1"/>
  <c r="N59" i="3" s="1"/>
  <c r="Q48" i="3"/>
  <c r="Q59" i="3" s="1"/>
  <c r="P48" i="3"/>
  <c r="P59" i="3" s="1"/>
  <c r="O48" i="3"/>
  <c r="Q20" i="3"/>
  <c r="P20" i="3"/>
  <c r="O20" i="3"/>
  <c r="N20" i="3"/>
  <c r="O18" i="3"/>
  <c r="O27" i="3" s="1"/>
  <c r="Q11" i="3"/>
  <c r="P11" i="3"/>
  <c r="Q5" i="3"/>
  <c r="Q18" i="3" s="1"/>
  <c r="Q27" i="3" s="1"/>
  <c r="P5" i="3"/>
  <c r="P18" i="3" s="1"/>
  <c r="P27" i="3" s="1"/>
  <c r="O5" i="3"/>
  <c r="N5" i="3"/>
  <c r="N18" i="3" s="1"/>
  <c r="O94" i="1"/>
  <c r="N94" i="1"/>
  <c r="O93" i="1"/>
  <c r="N93" i="1"/>
  <c r="O92" i="1"/>
  <c r="N92" i="1"/>
  <c r="O91" i="1"/>
  <c r="N91" i="1"/>
  <c r="O90" i="1"/>
  <c r="N90" i="1"/>
  <c r="O89" i="1"/>
  <c r="O88" i="1" s="1"/>
  <c r="N89" i="1"/>
  <c r="N88" i="1" s="1"/>
  <c r="M88" i="1"/>
  <c r="L88" i="1"/>
  <c r="O87" i="1"/>
  <c r="N87" i="1"/>
  <c r="O84" i="1"/>
  <c r="O83" i="1"/>
  <c r="O82" i="1"/>
  <c r="O71" i="1"/>
  <c r="N71" i="1"/>
  <c r="M71" i="1"/>
  <c r="L71" i="1"/>
  <c r="O51" i="1"/>
  <c r="N51" i="1"/>
  <c r="O48" i="1"/>
  <c r="N48" i="1"/>
  <c r="O47" i="1"/>
  <c r="N47" i="1"/>
  <c r="N45" i="1" s="1"/>
  <c r="O46" i="1"/>
  <c r="O45" i="1" s="1"/>
  <c r="N46" i="1"/>
  <c r="O41" i="1"/>
  <c r="O60" i="1" s="1"/>
  <c r="N41" i="1"/>
  <c r="N60" i="1" s="1"/>
  <c r="N73" i="1" s="1"/>
  <c r="O24" i="1"/>
  <c r="N24" i="1"/>
  <c r="O19" i="1"/>
  <c r="O14" i="1" s="1"/>
  <c r="N19" i="1"/>
  <c r="N14" i="1" s="1"/>
  <c r="O18" i="1"/>
  <c r="N18" i="1"/>
  <c r="O17" i="1"/>
  <c r="N17" i="1"/>
  <c r="O16" i="1"/>
  <c r="N16" i="1"/>
  <c r="O15" i="1"/>
  <c r="N15" i="1"/>
  <c r="O6" i="1"/>
  <c r="N6" i="1"/>
  <c r="N38" i="1" s="1"/>
  <c r="P73" i="3" l="1"/>
  <c r="P77" i="3" s="1"/>
  <c r="P80" i="3" s="1"/>
  <c r="M40" i="2"/>
  <c r="O11" i="2"/>
  <c r="M20" i="2"/>
  <c r="N11" i="2"/>
  <c r="M5" i="2"/>
  <c r="M18" i="2" s="1"/>
  <c r="O40" i="2"/>
  <c r="O48" i="2" s="1"/>
  <c r="M11" i="2"/>
  <c r="O61" i="2"/>
  <c r="M59" i="2"/>
  <c r="M61" i="2"/>
  <c r="N48" i="2"/>
  <c r="L48" i="2"/>
  <c r="N5" i="2"/>
  <c r="O18" i="2"/>
  <c r="N20" i="2"/>
  <c r="O20" i="2"/>
  <c r="Q73" i="3"/>
  <c r="Q77" i="3" s="1"/>
  <c r="Q80" i="3" s="1"/>
  <c r="O73" i="3"/>
  <c r="L73" i="2"/>
  <c r="L77" i="2" s="1"/>
  <c r="L80" i="2" s="1"/>
  <c r="L83" i="2"/>
  <c r="N27" i="3"/>
  <c r="N73" i="3" s="1"/>
  <c r="N77" i="3" s="1"/>
  <c r="N80" i="3" s="1"/>
  <c r="N83" i="3"/>
  <c r="P83" i="3"/>
  <c r="Q83" i="3"/>
  <c r="O38" i="1"/>
  <c r="O73" i="1"/>
  <c r="O59" i="2" l="1"/>
  <c r="O83" i="2" s="1"/>
  <c r="M48" i="2"/>
  <c r="N18" i="2"/>
  <c r="N27" i="2" s="1"/>
  <c r="N59" i="2"/>
  <c r="O27" i="2"/>
  <c r="N73" i="2"/>
  <c r="N77" i="2" s="1"/>
  <c r="N80" i="2" s="1"/>
  <c r="M27" i="2"/>
  <c r="M73" i="2" s="1"/>
  <c r="M77" i="2" s="1"/>
  <c r="M80" i="2" s="1"/>
  <c r="M83" i="2"/>
  <c r="N83" i="2"/>
  <c r="O73" i="2" l="1"/>
  <c r="O77" i="2" s="1"/>
  <c r="O80" i="2" s="1"/>
  <c r="P35" i="7"/>
  <c r="P41" i="7"/>
  <c r="P19" i="7"/>
  <c r="P21" i="7"/>
  <c r="P88" i="2"/>
  <c r="P87" i="2"/>
  <c r="P94" i="1"/>
  <c r="P51" i="1"/>
  <c r="P90" i="1"/>
  <c r="P89" i="1"/>
  <c r="P48" i="1"/>
  <c r="P92" i="1"/>
  <c r="P91" i="1"/>
  <c r="P17" i="1"/>
  <c r="P16" i="1"/>
  <c r="P19" i="1"/>
  <c r="P87" i="1"/>
  <c r="P83" i="1" l="1"/>
  <c r="P84" i="1"/>
  <c r="P42" i="7"/>
  <c r="P39" i="7"/>
  <c r="P46" i="1"/>
  <c r="P47" i="1"/>
  <c r="P11" i="7"/>
  <c r="P6" i="1"/>
  <c r="Q27" i="16"/>
  <c r="Q26" i="16"/>
  <c r="P15" i="7"/>
  <c r="P31" i="7"/>
  <c r="P22" i="7"/>
  <c r="P41" i="1"/>
  <c r="P82" i="1" l="1"/>
  <c r="P45" i="1"/>
  <c r="P43" i="7"/>
  <c r="Q28" i="16"/>
  <c r="Q29" i="16"/>
  <c r="P23" i="7"/>
  <c r="K75" i="2" l="1"/>
  <c r="K71" i="2"/>
  <c r="K70" i="2"/>
  <c r="K69" i="2"/>
  <c r="K68" i="2"/>
  <c r="K67" i="2"/>
  <c r="K66" i="2"/>
  <c r="K65" i="2"/>
  <c r="K64" i="2"/>
  <c r="K63" i="2"/>
  <c r="K62" i="2"/>
  <c r="K57" i="2"/>
  <c r="K56" i="2"/>
  <c r="K55" i="2"/>
  <c r="K54" i="2"/>
  <c r="K53" i="2"/>
  <c r="K52" i="2"/>
  <c r="K51" i="2"/>
  <c r="K50" i="2"/>
  <c r="K46" i="2"/>
  <c r="K44" i="2"/>
  <c r="K43" i="2"/>
  <c r="K42" i="2"/>
  <c r="K41" i="2"/>
  <c r="K38" i="2"/>
  <c r="K37" i="2"/>
  <c r="K35" i="2"/>
  <c r="K34" i="2"/>
  <c r="K33" i="2"/>
  <c r="K32" i="2"/>
  <c r="K31" i="2"/>
  <c r="K29" i="2"/>
  <c r="K25" i="2"/>
  <c r="K24" i="2"/>
  <c r="K23" i="2"/>
  <c r="K22" i="2"/>
  <c r="K21" i="2"/>
  <c r="K17" i="2"/>
  <c r="K16" i="2"/>
  <c r="K15" i="2"/>
  <c r="K14" i="2"/>
  <c r="K13" i="2"/>
  <c r="K12" i="2"/>
  <c r="K10" i="2"/>
  <c r="K7" i="2"/>
  <c r="K9" i="2"/>
  <c r="K8" i="2"/>
  <c r="K6" i="2"/>
  <c r="K56" i="3"/>
  <c r="K62" i="3"/>
  <c r="J62" i="2" s="1"/>
  <c r="L45" i="3"/>
  <c r="J45" i="2" s="1"/>
  <c r="K61" i="2" l="1"/>
  <c r="K11" i="2"/>
  <c r="K45" i="2"/>
  <c r="K40" i="2" s="1"/>
  <c r="K20" i="2"/>
  <c r="K5" i="2"/>
  <c r="K61" i="3"/>
  <c r="K73" i="3" s="1"/>
  <c r="K77" i="3" s="1"/>
  <c r="J61" i="3"/>
  <c r="J73" i="3" s="1"/>
  <c r="J77" i="3" s="1"/>
  <c r="K48" i="2" l="1"/>
  <c r="K59" i="2"/>
  <c r="K18" i="2"/>
  <c r="H75" i="2"/>
  <c r="H71" i="2"/>
  <c r="H70" i="2"/>
  <c r="H69" i="2"/>
  <c r="H68" i="2"/>
  <c r="H67" i="2"/>
  <c r="H66" i="2"/>
  <c r="H65" i="2"/>
  <c r="H64" i="2"/>
  <c r="H63" i="2"/>
  <c r="H62" i="2"/>
  <c r="H61" i="2"/>
  <c r="H57" i="2"/>
  <c r="H56" i="2"/>
  <c r="H55" i="2"/>
  <c r="H54" i="2"/>
  <c r="H53" i="2"/>
  <c r="H52" i="2"/>
  <c r="H51" i="2"/>
  <c r="H50" i="2"/>
  <c r="H46" i="2"/>
  <c r="H45" i="2"/>
  <c r="H44" i="2"/>
  <c r="H43" i="2"/>
  <c r="H42" i="2"/>
  <c r="H41" i="2"/>
  <c r="H38" i="2"/>
  <c r="H37" i="2"/>
  <c r="H35" i="2"/>
  <c r="H34" i="2"/>
  <c r="H33" i="2"/>
  <c r="H32" i="2"/>
  <c r="H31" i="2"/>
  <c r="H29" i="2"/>
  <c r="H27" i="2"/>
  <c r="H25" i="2"/>
  <c r="H24" i="2"/>
  <c r="H23" i="2"/>
  <c r="H22" i="2"/>
  <c r="H21" i="2"/>
  <c r="H20" i="2"/>
  <c r="H18" i="2"/>
  <c r="H17" i="2"/>
  <c r="H16" i="2"/>
  <c r="H15" i="2"/>
  <c r="H14" i="2"/>
  <c r="H13" i="2"/>
  <c r="H12" i="2"/>
  <c r="H11" i="2"/>
  <c r="H10" i="2"/>
  <c r="H7" i="2"/>
  <c r="H9" i="2"/>
  <c r="H8" i="2"/>
  <c r="H6" i="2"/>
  <c r="H5" i="2"/>
  <c r="I81" i="2"/>
  <c r="I75" i="2"/>
  <c r="I71" i="2"/>
  <c r="I70" i="2"/>
  <c r="I69" i="2"/>
  <c r="I68" i="2"/>
  <c r="I67" i="2"/>
  <c r="I66" i="2"/>
  <c r="I65" i="2"/>
  <c r="I64" i="2"/>
  <c r="I63" i="2"/>
  <c r="I62" i="2"/>
  <c r="I57" i="2"/>
  <c r="I56" i="2"/>
  <c r="I55" i="2"/>
  <c r="I54" i="2"/>
  <c r="I53" i="2"/>
  <c r="I52" i="2"/>
  <c r="I51" i="2"/>
  <c r="I50" i="2"/>
  <c r="I46" i="2"/>
  <c r="I45" i="2"/>
  <c r="I44" i="2"/>
  <c r="I43" i="2"/>
  <c r="I42" i="2"/>
  <c r="I41" i="2"/>
  <c r="I38" i="2"/>
  <c r="I37" i="2"/>
  <c r="I35" i="2"/>
  <c r="I34" i="2"/>
  <c r="I33" i="2"/>
  <c r="I32" i="2"/>
  <c r="I31" i="2"/>
  <c r="I29" i="2"/>
  <c r="I25" i="2"/>
  <c r="I24" i="2"/>
  <c r="I23" i="2"/>
  <c r="I22" i="2"/>
  <c r="I21" i="2"/>
  <c r="I17" i="2"/>
  <c r="I16" i="2"/>
  <c r="I15" i="2"/>
  <c r="I14" i="2"/>
  <c r="I13" i="2"/>
  <c r="I12" i="2"/>
  <c r="I10" i="2"/>
  <c r="I7" i="2"/>
  <c r="I9" i="2"/>
  <c r="I8" i="2"/>
  <c r="I6" i="2"/>
  <c r="J81" i="2"/>
  <c r="J75" i="2"/>
  <c r="J71" i="2"/>
  <c r="J70" i="2"/>
  <c r="J69" i="2"/>
  <c r="J68" i="2"/>
  <c r="J67" i="2"/>
  <c r="J66" i="2"/>
  <c r="J65" i="2"/>
  <c r="J64" i="2"/>
  <c r="J63" i="2"/>
  <c r="J57" i="2"/>
  <c r="J56" i="2"/>
  <c r="J55" i="2"/>
  <c r="J54" i="2"/>
  <c r="J53" i="2"/>
  <c r="J52" i="2"/>
  <c r="J51" i="2"/>
  <c r="J50" i="2"/>
  <c r="J46" i="2"/>
  <c r="J44" i="2"/>
  <c r="J43" i="2"/>
  <c r="J42" i="2"/>
  <c r="J41" i="2"/>
  <c r="J38" i="2"/>
  <c r="J37" i="2"/>
  <c r="J35" i="2"/>
  <c r="J34" i="2"/>
  <c r="J33" i="2"/>
  <c r="J32" i="2"/>
  <c r="J31" i="2"/>
  <c r="J29" i="2"/>
  <c r="J25" i="2"/>
  <c r="J24" i="2"/>
  <c r="J23" i="2"/>
  <c r="J22" i="2"/>
  <c r="J21" i="2"/>
  <c r="J17" i="2"/>
  <c r="J16" i="2"/>
  <c r="J15" i="2"/>
  <c r="J14" i="2"/>
  <c r="J13" i="2"/>
  <c r="J12" i="2"/>
  <c r="J10" i="2"/>
  <c r="J7" i="2"/>
  <c r="J9" i="2"/>
  <c r="J8" i="2"/>
  <c r="J6" i="2"/>
  <c r="J5" i="2" l="1"/>
  <c r="I5" i="2"/>
  <c r="I11" i="2"/>
  <c r="I40" i="2"/>
  <c r="J40" i="2"/>
  <c r="K27" i="2"/>
  <c r="I61" i="2"/>
  <c r="J11" i="2"/>
  <c r="J18" i="2" s="1"/>
  <c r="I20" i="2"/>
  <c r="I48" i="2"/>
  <c r="J61" i="2"/>
  <c r="J20" i="2"/>
  <c r="J48" i="2" l="1"/>
  <c r="I18" i="2"/>
  <c r="I59" i="2"/>
  <c r="I83" i="2" s="1"/>
  <c r="J59" i="2"/>
  <c r="J83" i="2" s="1"/>
  <c r="I27" i="2"/>
  <c r="K73" i="2"/>
  <c r="J27" i="2"/>
  <c r="J73" i="2" l="1"/>
  <c r="J77" i="2" s="1"/>
  <c r="J80" i="2" s="1"/>
  <c r="I73" i="2"/>
  <c r="I77" i="2" s="1"/>
  <c r="K77" i="2"/>
  <c r="I80" i="2" l="1"/>
  <c r="M61" i="3"/>
  <c r="L61" i="3"/>
  <c r="L59" i="3"/>
  <c r="I29" i="3" l="1"/>
  <c r="H29" i="3"/>
  <c r="G29" i="3"/>
  <c r="G61" i="2" l="1"/>
  <c r="F61" i="2"/>
  <c r="E61" i="2"/>
  <c r="D61" i="2"/>
  <c r="M73" i="3"/>
  <c r="M77" i="3" s="1"/>
  <c r="L73" i="3" l="1"/>
  <c r="L77" i="3" s="1"/>
  <c r="K80" i="3"/>
  <c r="L83" i="3"/>
  <c r="M80" i="3"/>
  <c r="J80" i="3"/>
  <c r="M83" i="3"/>
  <c r="K83" i="3"/>
  <c r="J83" i="3"/>
  <c r="L80" i="3" l="1"/>
  <c r="E80" i="3"/>
  <c r="D80" i="3"/>
  <c r="I40" i="3" l="1"/>
  <c r="H40" i="3"/>
  <c r="G40" i="3"/>
  <c r="F40" i="3"/>
  <c r="E40" i="3"/>
  <c r="D40" i="3"/>
  <c r="G40" i="2" l="1"/>
  <c r="G48" i="2" s="1"/>
  <c r="F40" i="2"/>
  <c r="F48" i="2" s="1"/>
  <c r="E40" i="2"/>
  <c r="E48" i="2" s="1"/>
  <c r="D40" i="2"/>
  <c r="D48" i="2" s="1"/>
  <c r="G20" i="2"/>
  <c r="F20" i="2"/>
  <c r="E20" i="2"/>
  <c r="D20" i="2"/>
  <c r="G18" i="2"/>
  <c r="F18" i="2"/>
  <c r="E18" i="2"/>
  <c r="D18" i="2"/>
  <c r="I48" i="3"/>
  <c r="H48" i="3"/>
  <c r="G48" i="3"/>
  <c r="F48" i="3"/>
  <c r="E48" i="3"/>
  <c r="D48" i="3"/>
  <c r="I20" i="3"/>
  <c r="H20" i="3"/>
  <c r="G20" i="3"/>
  <c r="F20" i="3"/>
  <c r="E20" i="3"/>
  <c r="D20" i="3"/>
  <c r="I5" i="3"/>
  <c r="I18" i="3" s="1"/>
  <c r="H5" i="3"/>
  <c r="H18" i="3" s="1"/>
  <c r="G5" i="3"/>
  <c r="G18" i="3" s="1"/>
  <c r="F5" i="3"/>
  <c r="F18" i="3" s="1"/>
  <c r="E5" i="3"/>
  <c r="D5" i="3"/>
  <c r="E18" i="3" l="1"/>
  <c r="D18" i="3"/>
  <c r="D27" i="3" s="1"/>
  <c r="E27" i="3"/>
  <c r="D59" i="2"/>
  <c r="D27" i="2"/>
  <c r="F27" i="3"/>
  <c r="I27" i="3"/>
  <c r="G27" i="3"/>
  <c r="H27" i="3"/>
  <c r="F27" i="2"/>
  <c r="E27" i="2"/>
  <c r="G27" i="2"/>
  <c r="E59" i="2"/>
  <c r="F59" i="2"/>
  <c r="G59" i="2"/>
  <c r="G73" i="2" l="1"/>
  <c r="G77" i="2" s="1"/>
  <c r="D73" i="2"/>
  <c r="D77" i="2" s="1"/>
  <c r="D80" i="2" s="1"/>
  <c r="F73" i="2"/>
  <c r="F77" i="2" s="1"/>
  <c r="G80" i="2"/>
  <c r="E73" i="2"/>
  <c r="E77" i="2" s="1"/>
  <c r="K71" i="1"/>
  <c r="J71" i="1"/>
  <c r="I71" i="1"/>
  <c r="H71" i="1"/>
  <c r="G71" i="1"/>
  <c r="F71" i="1"/>
  <c r="E71" i="1"/>
  <c r="D71" i="1"/>
  <c r="F80" i="2" l="1"/>
  <c r="E80" i="2"/>
  <c r="H83" i="2" l="1"/>
  <c r="G83" i="2"/>
  <c r="F83" i="2"/>
  <c r="E83" i="2"/>
  <c r="D83" i="2"/>
  <c r="I59" i="3"/>
  <c r="H59" i="3"/>
  <c r="G59" i="3"/>
  <c r="F59" i="3"/>
  <c r="E59" i="3"/>
  <c r="D59" i="3"/>
  <c r="F73" i="3" l="1"/>
  <c r="F77" i="3" s="1"/>
  <c r="F80" i="3" s="1"/>
  <c r="D83" i="3"/>
  <c r="D73" i="3"/>
  <c r="G73" i="3"/>
  <c r="G77" i="3" s="1"/>
  <c r="G80" i="3" s="1"/>
  <c r="I73" i="3"/>
  <c r="I77" i="3" s="1"/>
  <c r="I80" i="3" s="1"/>
  <c r="E73" i="3"/>
  <c r="H73" i="3"/>
  <c r="H77" i="3" s="1"/>
  <c r="H80" i="3" s="1"/>
  <c r="E83" i="3"/>
  <c r="F83" i="3"/>
  <c r="G83" i="3"/>
  <c r="K83" i="2"/>
  <c r="H83" i="3"/>
  <c r="I83" i="3"/>
  <c r="H80" i="2" l="1"/>
  <c r="K88" i="1"/>
  <c r="J88" i="1"/>
  <c r="I88" i="1"/>
  <c r="H88" i="1"/>
  <c r="G88" i="1"/>
  <c r="F88" i="1"/>
  <c r="E88" i="1"/>
  <c r="D88" i="1"/>
  <c r="K80" i="2" l="1"/>
  <c r="G48" i="1" l="1"/>
  <c r="G51" i="1"/>
  <c r="P36" i="2" l="1"/>
  <c r="P44" i="2" l="1"/>
  <c r="P43" i="2"/>
  <c r="P42" i="2"/>
  <c r="P35" i="2"/>
  <c r="P31" i="2" l="1"/>
  <c r="P46" i="2"/>
  <c r="P41" i="2" l="1"/>
  <c r="P40" i="2" s="1"/>
  <c r="R40" i="3"/>
  <c r="P25" i="2" l="1"/>
  <c r="P24" i="2"/>
  <c r="P23" i="2"/>
  <c r="P22" i="2"/>
  <c r="P15" i="2"/>
  <c r="P16" i="2"/>
  <c r="P13" i="2"/>
  <c r="P10" i="2"/>
  <c r="P9" i="2"/>
  <c r="P8" i="2"/>
  <c r="P93" i="1" l="1"/>
  <c r="P88" i="1" s="1"/>
  <c r="P7" i="2"/>
  <c r="Q42" i="16" s="1"/>
  <c r="Q43" i="16"/>
  <c r="P12" i="2"/>
  <c r="P11" i="2" s="1"/>
  <c r="R11" i="3"/>
  <c r="P21" i="2"/>
  <c r="Q24" i="16"/>
  <c r="R20" i="3"/>
  <c r="Q21" i="16"/>
  <c r="P6" i="2"/>
  <c r="R5" i="3"/>
  <c r="Q46" i="16"/>
  <c r="P20" i="2" l="1"/>
  <c r="Q23" i="16"/>
  <c r="Q20" i="16"/>
  <c r="Q40" i="16"/>
  <c r="P5" i="2"/>
  <c r="Q45" i="16"/>
  <c r="Q39" i="16" l="1"/>
  <c r="P33" i="2" l="1"/>
  <c r="P60" i="1" l="1"/>
  <c r="P32" i="2" l="1"/>
  <c r="P34" i="2" l="1"/>
  <c r="P71" i="1" l="1"/>
  <c r="P73" i="1" s="1"/>
  <c r="P15" i="1" l="1"/>
  <c r="P18" i="1"/>
  <c r="P24" i="1" l="1"/>
  <c r="P14" i="1" s="1"/>
  <c r="P38" i="1" s="1"/>
  <c r="P75" i="2" l="1"/>
  <c r="P50" i="2"/>
  <c r="P51" i="2"/>
  <c r="P71" i="2" l="1"/>
  <c r="P61" i="2" s="1"/>
  <c r="R61" i="3"/>
  <c r="R56" i="3"/>
  <c r="P56" i="2" s="1"/>
  <c r="P53" i="2"/>
  <c r="P29" i="2"/>
  <c r="P81" i="2" l="1"/>
  <c r="P17" i="2" l="1"/>
  <c r="R18" i="3"/>
  <c r="Q37" i="16"/>
  <c r="R27" i="3" l="1"/>
  <c r="Q36" i="16"/>
  <c r="P18" i="2"/>
  <c r="P27" i="2" l="1"/>
  <c r="P85" i="2" l="1"/>
  <c r="P39" i="2" l="1"/>
  <c r="P37" i="2"/>
  <c r="R30" i="3"/>
  <c r="P30" i="2" l="1"/>
  <c r="R48" i="3"/>
  <c r="R59" i="3" s="1"/>
  <c r="R83" i="3" s="1"/>
  <c r="Q18" i="16" s="1"/>
  <c r="R73" i="3"/>
  <c r="R77" i="3" s="1"/>
  <c r="P48" i="2"/>
  <c r="P59" i="2"/>
  <c r="P73" i="2" l="1"/>
  <c r="P77" i="2" s="1"/>
  <c r="P83" i="2"/>
  <c r="Q17" i="16" s="1"/>
  <c r="Q12" i="16"/>
  <c r="Q9" i="16"/>
  <c r="R80" i="3"/>
  <c r="Q6" i="16"/>
  <c r="P80" i="2" l="1"/>
  <c r="Q5" i="16"/>
  <c r="Q8" i="16"/>
  <c r="Q11" i="16"/>
</calcChain>
</file>

<file path=xl/sharedStrings.xml><?xml version="1.0" encoding="utf-8"?>
<sst xmlns="http://schemas.openxmlformats.org/spreadsheetml/2006/main" count="374" uniqueCount="181">
  <si>
    <t>Средства в финансовых институтах</t>
  </si>
  <si>
    <t xml:space="preserve">1к </t>
  </si>
  <si>
    <t>Денежные средства и их эквиваленты</t>
  </si>
  <si>
    <t>Ссуды, предоставленные клиентам</t>
  </si>
  <si>
    <t>Активы в форме права пользования</t>
  </si>
  <si>
    <t>Недвижимость для перепродажи</t>
  </si>
  <si>
    <t>Инвестиционная недвижимость</t>
  </si>
  <si>
    <t>Основные средства и нематериальные активы</t>
  </si>
  <si>
    <t>Требования по текущему налогу на прибыль</t>
  </si>
  <si>
    <t>Требования по отложенному налогу на прибыль</t>
  </si>
  <si>
    <t>Прочие активы</t>
  </si>
  <si>
    <t>ИТОГО АКТИВЫ</t>
  </si>
  <si>
    <t>ОБЯЗАТЕЛЬСТВА:</t>
  </si>
  <si>
    <t>Средства банков и иных финансовых учреждений</t>
  </si>
  <si>
    <t>Средства клиентов</t>
  </si>
  <si>
    <t>Выпущенные долговые ценные бумаги</t>
  </si>
  <si>
    <t>Обязательства по возврату ценных бумаг</t>
  </si>
  <si>
    <t>Обязательства по аренде</t>
  </si>
  <si>
    <t>Обязательства по текущему налогу на прибыль</t>
  </si>
  <si>
    <t>Прочие обязательства</t>
  </si>
  <si>
    <t>ИТОГО ОБЯЗАТЕЛЬСТВА</t>
  </si>
  <si>
    <t>КАПИТАЛ:</t>
  </si>
  <si>
    <t>Уставный капитал</t>
  </si>
  <si>
    <t>Эмиссионный доход</t>
  </si>
  <si>
    <t>Бессрочные облигации</t>
  </si>
  <si>
    <t>Дополнительный капитал</t>
  </si>
  <si>
    <t>Нераспределенная прибыль</t>
  </si>
  <si>
    <t>ИТОГО КАПИТАЛ</t>
  </si>
  <si>
    <t>ИТОГО ОБЯЗАТЕЛЬСТВА И КАПИТАЛ</t>
  </si>
  <si>
    <t xml:space="preserve">Прочие резервы </t>
  </si>
  <si>
    <t>Остатки на счетах в ЦБ РФ</t>
  </si>
  <si>
    <t>Корреспондентские счета в банках и прочих финансовых организациях</t>
  </si>
  <si>
    <t>Наличные денежные средства</t>
  </si>
  <si>
    <t>Соглашения обратного РЕПО с финансовыми организациями с первоначальным сроком погашения менее трех месяцев</t>
  </si>
  <si>
    <t xml:space="preserve">Резерв под ожидаемые кредитные убытки </t>
  </si>
  <si>
    <t>Потребительские кредиты</t>
  </si>
  <si>
    <t xml:space="preserve">Кредитные карты </t>
  </si>
  <si>
    <t xml:space="preserve">Ипотечные ссуды </t>
  </si>
  <si>
    <t xml:space="preserve">Оценочный резерв под ожидаемые кредитные убытки </t>
  </si>
  <si>
    <t>Ссуды, полученные по соглашениям прямого РЕПО</t>
  </si>
  <si>
    <t>Кредиты и срочные депозиты банков и других финансовых учреждений</t>
  </si>
  <si>
    <t>Корреспондентские счета других банков</t>
  </si>
  <si>
    <t>Физические лица</t>
  </si>
  <si>
    <t>Срочные депозиты</t>
  </si>
  <si>
    <t>Текущие счета</t>
  </si>
  <si>
    <t>Юридические лица</t>
  </si>
  <si>
    <t xml:space="preserve">Выпущенные долговые ценные бумаги </t>
  </si>
  <si>
    <t>Прочее</t>
  </si>
  <si>
    <t>Процентные доходы</t>
  </si>
  <si>
    <t>Процентные расходы</t>
  </si>
  <si>
    <t>Расходы на страхование вкладов</t>
  </si>
  <si>
    <t>Чистый процентный доход</t>
  </si>
  <si>
    <t>Формирование резерва под ожидаемые кредитные убытки активов, по которым начисляются проценты</t>
  </si>
  <si>
    <t>Чистый процентный доход после резерва под ожидаемые кредитные убытки</t>
  </si>
  <si>
    <t>Комиссионные доходы</t>
  </si>
  <si>
    <t>Комиссионные расходы</t>
  </si>
  <si>
    <t>Доходы от операционной аренды</t>
  </si>
  <si>
    <t>Формирование прочих резервов и резервов под ожидаемые кредитные убытки по прочим операциям</t>
  </si>
  <si>
    <t>Чистая прибыль от реализации недвижимости для перепродажи</t>
  </si>
  <si>
    <t>Изменение справедливой стоимости инвестиционной недвижимости</t>
  </si>
  <si>
    <t>Прочие чистые доходы</t>
  </si>
  <si>
    <t>Чистые непроцентные доходы</t>
  </si>
  <si>
    <t>Операционные расходы</t>
  </si>
  <si>
    <t>Прибыль до налогообложения</t>
  </si>
  <si>
    <t>Расход по налогу на прибыль</t>
  </si>
  <si>
    <t>Прибыль за период</t>
  </si>
  <si>
    <t>Вложения в долговые ценные бумаги, оцениваемые по справедливой стоимости через прочий совокупный доход</t>
  </si>
  <si>
    <t>Вложения в ценные бумаги, оцениваемые по амортизированной стоимости</t>
  </si>
  <si>
    <t>Вложения в долговые ценные бумаги, оцениваемые по справедливой стоимости через прибыль или убыток</t>
  </si>
  <si>
    <t>(Восстановление)/формирование резерва под ожидаемые кредитные убытки по денежным средствам и их эквивалентам</t>
  </si>
  <si>
    <t>(Восстановление)/формирование резерва под ожидаемые кредитные убытки по долговым ценным бумагам, оцениваемым по амортизированной стоимости</t>
  </si>
  <si>
    <t>Формирование/(восстановление) резерва под ожидаемые кредитные убытки по долговым ценным бумагам, оцениваемым по справедливой стоимости через прочий совокупный доход</t>
  </si>
  <si>
    <t>Агентское вознаграждение за продажи страховых продуктов</t>
  </si>
  <si>
    <t>Эквайринг и операции с банковскими картами</t>
  </si>
  <si>
    <t>Расчетные операции</t>
  </si>
  <si>
    <t>Операции с наличными денежными средствами с использованием пластиковых карт</t>
  </si>
  <si>
    <t>Документарные операции</t>
  </si>
  <si>
    <t>Осуществление функции валютного агента и валютного контролера</t>
  </si>
  <si>
    <t>Информационное и техническое взаимодействие</t>
  </si>
  <si>
    <t>Расходы по взысканию задолженности</t>
  </si>
  <si>
    <t>Кассовые операции</t>
  </si>
  <si>
    <t>Итого комиссионные расходы</t>
  </si>
  <si>
    <t>Доходы от участия в программах лояльности</t>
  </si>
  <si>
    <t>Заработная плата</t>
  </si>
  <si>
    <t>Отчисления на социальное обеспечение</t>
  </si>
  <si>
    <t>Амортизация основных средств и нематериальных активов</t>
  </si>
  <si>
    <t>Услуги связи</t>
  </si>
  <si>
    <t>Профессиональные услуги</t>
  </si>
  <si>
    <t>Расходы на рекламу</t>
  </si>
  <si>
    <t>Техническое обслуживание основных средств</t>
  </si>
  <si>
    <t>Обслуживание программного обеспечения</t>
  </si>
  <si>
    <t>Амортизация активов в форме права пользования</t>
  </si>
  <si>
    <t>Прочие расходы</t>
  </si>
  <si>
    <t>2к</t>
  </si>
  <si>
    <t>3к</t>
  </si>
  <si>
    <t>4к</t>
  </si>
  <si>
    <t>Коэффициенты достаточности капитала</t>
  </si>
  <si>
    <t>Стадия1</t>
  </si>
  <si>
    <t>Стадия2</t>
  </si>
  <si>
    <t>Стадия3</t>
  </si>
  <si>
    <t xml:space="preserve">Кредиты физлицам </t>
  </si>
  <si>
    <t xml:space="preserve">Итого </t>
  </si>
  <si>
    <t xml:space="preserve">Всего </t>
  </si>
  <si>
    <t xml:space="preserve">АКТИВЫ: </t>
  </si>
  <si>
    <t xml:space="preserve">Чистые комиссионные доходы </t>
  </si>
  <si>
    <t xml:space="preserve">Чистая прибыль по операциям с финансовыми инструментами и с иностранной валютой </t>
  </si>
  <si>
    <t xml:space="preserve">Валовая стоимость </t>
  </si>
  <si>
    <t xml:space="preserve">Текущие счета </t>
  </si>
  <si>
    <t xml:space="preserve">Формирование резерва под ожидаемые кредитные убытки по кредитам, выданным физическим лицам </t>
  </si>
  <si>
    <t xml:space="preserve">Формирование резерва под ожидаемые кредитные убытки по кредитам, выданным юридическим лицам </t>
  </si>
  <si>
    <t>Н1.0 (на конец периода)</t>
  </si>
  <si>
    <t>Н1.1 (на конец периода)</t>
  </si>
  <si>
    <t>Н1.2 (на конец периода)</t>
  </si>
  <si>
    <t>NIM за квартал, %</t>
  </si>
  <si>
    <t>CoR с начала года, %</t>
  </si>
  <si>
    <t>CoR за квартал, %</t>
  </si>
  <si>
    <t>CoR retail с начала года, %</t>
  </si>
  <si>
    <t>CoR retail за квартал, %</t>
  </si>
  <si>
    <t>NPL % (Стадия 3)</t>
  </si>
  <si>
    <t>NPL retail % (Стадия 3)</t>
  </si>
  <si>
    <t>Coverage NPL % (Стадия 3)</t>
  </si>
  <si>
    <t>Coverage NPL Retail % (Стадия 3)</t>
  </si>
  <si>
    <t>NPL % (90+)</t>
  </si>
  <si>
    <t>NPL retail % (90+)</t>
  </si>
  <si>
    <t>Coverage NPL % (90+)</t>
  </si>
  <si>
    <t>Coverage NPL Retail % (90+)</t>
  </si>
  <si>
    <t>Чистый комиссионный доход</t>
  </si>
  <si>
    <t xml:space="preserve">Ожидаемые кредитные убытки </t>
  </si>
  <si>
    <t xml:space="preserve"> Ожидаемые кредитные убытки </t>
  </si>
  <si>
    <t>NIM с начала года, %</t>
  </si>
  <si>
    <t xml:space="preserve">Базовая прибыль на обыкновенную акцию, руб. </t>
  </si>
  <si>
    <t xml:space="preserve">млн руб. </t>
  </si>
  <si>
    <t>Обыкновенные акции, млн</t>
  </si>
  <si>
    <t>Активы, приносящие процентный доход (включая денежные средства и их эквиваленты)</t>
  </si>
  <si>
    <t xml:space="preserve">Обязательства, по которым начисляется процентный расход </t>
  </si>
  <si>
    <t xml:space="preserve">Корпоратинвые кредиты и МСБ </t>
  </si>
  <si>
    <t xml:space="preserve">Корпоративные кредиты и МСБ </t>
  </si>
  <si>
    <t>Краткосрочные депозиты в банках и ЦБ РФ</t>
  </si>
  <si>
    <t>Доходы за выдачу гарантий и поручительств</t>
  </si>
  <si>
    <t>Расходы в связи с привлечением капитала</t>
  </si>
  <si>
    <t>Кредитный портфель физических лиц</t>
  </si>
  <si>
    <t>Кредитный портфель юридических лиц</t>
  </si>
  <si>
    <t>Депозиты физических и юридических лиц</t>
  </si>
  <si>
    <t>Текущие счета физических и юридических лиц</t>
  </si>
  <si>
    <t>Портфель долговых ценных бумаг</t>
  </si>
  <si>
    <t>Стоимость фондирования за квартал</t>
  </si>
  <si>
    <t>Стоимость фондирования с начала года</t>
  </si>
  <si>
    <t>Обслуживание счетов и банковских карт</t>
  </si>
  <si>
    <t>Обслуживание счетов, банковских карт и кредитных продуктов</t>
  </si>
  <si>
    <t>Вложения в ценные бумаги</t>
  </si>
  <si>
    <t>x</t>
  </si>
  <si>
    <t>Доходность портфеля ценных бумаг за квартал (процентный доход)</t>
  </si>
  <si>
    <t>Доходность на гросс-портфель (розничные кредиты) за квартал (процентный доход)</t>
  </si>
  <si>
    <t>Доходность на гросс-портфель (розничные кредиты) с начала года (процентный доход)</t>
  </si>
  <si>
    <t>1к</t>
  </si>
  <si>
    <t>Доходность портфеля ценных бумаг c начала года (процентный доход)</t>
  </si>
  <si>
    <t>Кредиты юридическим лицам</t>
  </si>
  <si>
    <t>Привилегированные акции, тыс.</t>
  </si>
  <si>
    <t>Прочие процентные расходы</t>
  </si>
  <si>
    <t>ROE за квартал, %</t>
  </si>
  <si>
    <t>ROE с начала года, %</t>
  </si>
  <si>
    <t>ROA за квартал, %</t>
  </si>
  <si>
    <t>ROA с начала года, %</t>
  </si>
  <si>
    <t>CIR за квартал</t>
  </si>
  <si>
    <t>CIR с начала года</t>
  </si>
  <si>
    <t>Операционные доходы до резервов</t>
  </si>
  <si>
    <t>ROE без суборда за квартал, %</t>
  </si>
  <si>
    <t>ROE без суборда с начала года, %</t>
  </si>
  <si>
    <t>Неконтролирующая доля участия</t>
  </si>
  <si>
    <t>Акционерам материнского Банка</t>
  </si>
  <si>
    <t>Неконтрольным долям владения</t>
  </si>
  <si>
    <t>Прибыль, относящаяся к:</t>
  </si>
  <si>
    <t>Денежные средства, их эквиваленты и средства в финансовых институтах</t>
  </si>
  <si>
    <t>Выпущенные долговые ценные бумаги и цифровые финансовые активы</t>
  </si>
  <si>
    <t>Процентные расходы по прочим привлеченным средствам и обязательствам</t>
  </si>
  <si>
    <t>Чистая прибыль от реализации инвестиционной недвижимости</t>
  </si>
  <si>
    <t>Доходность активов, приносящих процентный доход за квартал</t>
  </si>
  <si>
    <t>Доходность активов, приносящих процентный доход с начала года</t>
  </si>
  <si>
    <t>Доходность на гросс-портфель (кредиты) за квартал (процентный доход)</t>
  </si>
  <si>
    <t>Доходность на гросс-портфель (кредиты) с начала года (процентный доход)</t>
  </si>
  <si>
    <t>Организация выпуска ценных бумаг и брокерское обслуживание клиентов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</si>
</sst>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* #,##0.00\ _₽_-;\-* #,##0.00\ _₽_-;_-* &quot;-&quot;??\ _₽_-;_-@_-"/>
    <numFmt numFmtId="165" formatCode="#,##0;\(#,##0\);\-"/>
    <numFmt numFmtId="166" formatCode="#\ ###\ ##0;\(#\ ###\ ##0\);\-"/>
    <numFmt numFmtId="167" formatCode="0.0%"/>
    <numFmt numFmtId="168" formatCode="#\ ###\ ##0;\(###\ ##0\);\-"/>
    <numFmt numFmtId="169" formatCode="#\ ##0;\(#\ ##0\)"/>
    <numFmt numFmtId="170" formatCode="#,##0;\(#,##0\);"/>
    <numFmt numFmtId="171" formatCode="0.000"/>
    <numFmt numFmtId="172" formatCode="#,##0;\(\-#,##0\)"/>
    <numFmt numFmtId="173" formatCode="#,##0;\(#,##0\)"/>
    <numFmt numFmtId="174" formatCode="0.0"/>
    <numFmt numFmtId="175" formatCode="#,##0.0"/>
    <numFmt numFmtId="176" formatCode="_-* #,##0\ _₽_-;\-* #,##0\ _₽_-;_-* &quot;-&quot;??\ _₽_-;_-@_-"/>
    <numFmt numFmtId="177" formatCode="_-* #,##0.0\ _₽_-;\-* #,##0.0\ _₽_-;_-* &quot;-&quot;??\ _₽_-;_-@_-"/>
    <numFmt numFmtId="178" formatCode="#,##0.0;\(#,##0.0\)"/>
    <numFmt numFmtId="179" formatCode="_-* #,##0.0\ _₽_-;\-* #,##0.0\ _₽_-;_-* &quot;-&quot;?\ _₽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2B2E33"/>
      <name val="Calibri Light"/>
      <family val="2"/>
      <scheme val="major"/>
    </font>
    <font>
      <u val="double"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rgb="FFFF0000"/>
      <name val="Calibri Light"/>
      <family val="2"/>
      <charset val="204"/>
      <scheme val="major"/>
    </font>
    <font>
      <sz val="12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scheme val="major"/>
    </font>
    <font>
      <sz val="12"/>
      <color rgb="FF000000"/>
      <name val="Calibri Light"/>
      <family val="2"/>
      <charset val="204"/>
    </font>
    <font>
      <b/>
      <u/>
      <sz val="12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</font>
    <font>
      <sz val="11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sz val="12"/>
      <color rgb="FFFF0000"/>
      <name val="Calibri Light"/>
      <family val="2"/>
      <scheme val="major"/>
    </font>
    <font>
      <b/>
      <sz val="12"/>
      <name val="Calibri Light"/>
      <family val="2"/>
      <charset val="204"/>
      <scheme val="major"/>
    </font>
    <font>
      <b/>
      <sz val="12"/>
      <color rgb="FFFF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E7FF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8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2" tint="-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2" tint="-0.249977111117893"/>
      </top>
      <bottom/>
      <diagonal/>
    </border>
    <border>
      <left style="thin">
        <color theme="1" tint="0.249977111117893"/>
      </left>
      <right/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6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2" fillId="0" borderId="2" xfId="0" applyFont="1" applyBorder="1"/>
    <xf numFmtId="0" fontId="8" fillId="0" borderId="0" xfId="0" applyFont="1" applyAlignment="1">
      <alignment horizontal="center"/>
    </xf>
    <xf numFmtId="9" fontId="2" fillId="0" borderId="0" xfId="1" applyFont="1"/>
    <xf numFmtId="0" fontId="2" fillId="0" borderId="0" xfId="0" applyFont="1" applyAlignment="1">
      <alignment wrapText="1"/>
    </xf>
    <xf numFmtId="0" fontId="7" fillId="0" borderId="0" xfId="0" applyFont="1"/>
    <xf numFmtId="168" fontId="2" fillId="0" borderId="0" xfId="0" applyNumberFormat="1" applyFont="1"/>
    <xf numFmtId="165" fontId="6" fillId="0" borderId="0" xfId="2" applyNumberFormat="1" applyFont="1" applyAlignment="1">
      <alignment horizontal="left" vertical="center" inden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7" fontId="2" fillId="0" borderId="0" xfId="1" applyNumberFormat="1" applyFont="1" applyFill="1"/>
    <xf numFmtId="0" fontId="3" fillId="0" borderId="0" xfId="0" applyFont="1" applyAlignment="1">
      <alignment vertical="top"/>
    </xf>
    <xf numFmtId="169" fontId="2" fillId="0" borderId="0" xfId="0" applyNumberFormat="1" applyFont="1"/>
    <xf numFmtId="0" fontId="5" fillId="0" borderId="2" xfId="0" applyFont="1" applyBorder="1" applyAlignment="1">
      <alignment horizontal="right"/>
    </xf>
    <xf numFmtId="167" fontId="2" fillId="0" borderId="0" xfId="1" applyNumberFormat="1" applyFont="1" applyFill="1" applyBorder="1"/>
    <xf numFmtId="0" fontId="2" fillId="0" borderId="0" xfId="0" applyFont="1" applyAlignment="1">
      <alignment horizontal="left" indent="1"/>
    </xf>
    <xf numFmtId="169" fontId="13" fillId="0" borderId="0" xfId="0" applyNumberFormat="1" applyFont="1"/>
    <xf numFmtId="169" fontId="14" fillId="0" borderId="0" xfId="0" applyNumberFormat="1" applyFont="1"/>
    <xf numFmtId="169" fontId="15" fillId="0" borderId="0" xfId="0" applyNumberFormat="1" applyFont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169" fontId="9" fillId="0" borderId="0" xfId="0" applyNumberFormat="1" applyFont="1"/>
    <xf numFmtId="170" fontId="9" fillId="0" borderId="2" xfId="0" applyNumberFormat="1" applyFont="1" applyBorder="1"/>
    <xf numFmtId="170" fontId="9" fillId="2" borderId="2" xfId="0" applyNumberFormat="1" applyFont="1" applyFill="1" applyBorder="1"/>
    <xf numFmtId="170" fontId="9" fillId="2" borderId="0" xfId="0" applyNumberFormat="1" applyFont="1" applyFill="1"/>
    <xf numFmtId="170" fontId="9" fillId="0" borderId="5" xfId="0" applyNumberFormat="1" applyFont="1" applyBorder="1"/>
    <xf numFmtId="3" fontId="5" fillId="0" borderId="0" xfId="0" applyNumberFormat="1" applyFont="1"/>
    <xf numFmtId="172" fontId="2" fillId="0" borderId="0" xfId="0" applyNumberFormat="1" applyFont="1"/>
    <xf numFmtId="172" fontId="2" fillId="0" borderId="0" xfId="0" applyNumberFormat="1" applyFont="1" applyAlignment="1">
      <alignment horizontal="right"/>
    </xf>
    <xf numFmtId="172" fontId="5" fillId="0" borderId="0" xfId="0" applyNumberFormat="1" applyFont="1"/>
    <xf numFmtId="172" fontId="5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0" fillId="0" borderId="2" xfId="0" applyBorder="1"/>
    <xf numFmtId="0" fontId="2" fillId="3" borderId="2" xfId="0" applyFont="1" applyFill="1" applyBorder="1"/>
    <xf numFmtId="0" fontId="2" fillId="3" borderId="0" xfId="0" applyFont="1" applyFill="1"/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1" xfId="0" applyFont="1" applyFill="1" applyBorder="1"/>
    <xf numFmtId="0" fontId="9" fillId="3" borderId="0" xfId="0" applyFont="1" applyFill="1"/>
    <xf numFmtId="0" fontId="18" fillId="3" borderId="5" xfId="0" applyFont="1" applyFill="1" applyBorder="1" applyAlignment="1">
      <alignment horizontal="center"/>
    </xf>
    <xf numFmtId="0" fontId="9" fillId="3" borderId="10" xfId="0" applyFont="1" applyFill="1" applyBorder="1"/>
    <xf numFmtId="0" fontId="18" fillId="3" borderId="1" xfId="0" applyFont="1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5" fillId="3" borderId="0" xfId="0" applyFont="1" applyFill="1"/>
    <xf numFmtId="0" fontId="5" fillId="3" borderId="5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10" xfId="0" applyFont="1" applyFill="1" applyBorder="1"/>
    <xf numFmtId="0" fontId="5" fillId="3" borderId="9" xfId="0" applyFont="1" applyFill="1" applyBorder="1" applyAlignment="1">
      <alignment horizontal="center"/>
    </xf>
    <xf numFmtId="173" fontId="2" fillId="3" borderId="2" xfId="0" applyNumberFormat="1" applyFont="1" applyFill="1" applyBorder="1"/>
    <xf numFmtId="173" fontId="2" fillId="3" borderId="2" xfId="0" applyNumberFormat="1" applyFont="1" applyFill="1" applyBorder="1" applyAlignment="1">
      <alignment vertical="top"/>
    </xf>
    <xf numFmtId="169" fontId="5" fillId="3" borderId="2" xfId="0" applyNumberFormat="1" applyFont="1" applyFill="1" applyBorder="1"/>
    <xf numFmtId="169" fontId="5" fillId="3" borderId="0" xfId="0" applyNumberFormat="1" applyFont="1" applyFill="1"/>
    <xf numFmtId="169" fontId="5" fillId="3" borderId="3" xfId="0" applyNumberFormat="1" applyFont="1" applyFill="1" applyBorder="1"/>
    <xf numFmtId="169" fontId="2" fillId="3" borderId="2" xfId="0" applyNumberFormat="1" applyFont="1" applyFill="1" applyBorder="1"/>
    <xf numFmtId="169" fontId="2" fillId="3" borderId="0" xfId="0" applyNumberFormat="1" applyFont="1" applyFill="1"/>
    <xf numFmtId="170" fontId="9" fillId="3" borderId="2" xfId="0" applyNumberFormat="1" applyFont="1" applyFill="1" applyBorder="1"/>
    <xf numFmtId="0" fontId="9" fillId="3" borderId="2" xfId="0" applyFont="1" applyFill="1" applyBorder="1"/>
    <xf numFmtId="0" fontId="18" fillId="3" borderId="5" xfId="0" applyFont="1" applyFill="1" applyBorder="1"/>
    <xf numFmtId="170" fontId="9" fillId="3" borderId="5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5" fillId="3" borderId="2" xfId="0" applyFont="1" applyFill="1" applyBorder="1" applyAlignment="1">
      <alignment horizontal="center" wrapText="1"/>
    </xf>
    <xf numFmtId="169" fontId="5" fillId="3" borderId="7" xfId="0" applyNumberFormat="1" applyFont="1" applyFill="1" applyBorder="1" applyAlignment="1">
      <alignment horizontal="center"/>
    </xf>
    <xf numFmtId="169" fontId="5" fillId="3" borderId="1" xfId="0" applyNumberFormat="1" applyFont="1" applyFill="1" applyBorder="1" applyAlignment="1">
      <alignment horizontal="center"/>
    </xf>
    <xf numFmtId="169" fontId="5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18" fillId="3" borderId="1" xfId="0" applyFont="1" applyFill="1" applyBorder="1"/>
    <xf numFmtId="0" fontId="18" fillId="3" borderId="4" xfId="0" applyFont="1" applyFill="1" applyBorder="1"/>
    <xf numFmtId="0" fontId="9" fillId="3" borderId="4" xfId="0" applyFont="1" applyFill="1" applyBorder="1"/>
    <xf numFmtId="0" fontId="18" fillId="3" borderId="11" xfId="0" applyFont="1" applyFill="1" applyBorder="1" applyAlignment="1">
      <alignment horizontal="center"/>
    </xf>
    <xf numFmtId="0" fontId="9" fillId="3" borderId="7" xfId="0" applyFont="1" applyFill="1" applyBorder="1"/>
    <xf numFmtId="0" fontId="18" fillId="3" borderId="10" xfId="0" applyFont="1" applyFill="1" applyBorder="1" applyAlignment="1">
      <alignment horizontal="center"/>
    </xf>
    <xf numFmtId="172" fontId="2" fillId="4" borderId="0" xfId="0" applyNumberFormat="1" applyFont="1" applyFill="1"/>
    <xf numFmtId="0" fontId="2" fillId="4" borderId="0" xfId="0" applyFont="1" applyFill="1"/>
    <xf numFmtId="0" fontId="2" fillId="4" borderId="1" xfId="0" applyFont="1" applyFill="1" applyBorder="1"/>
    <xf numFmtId="0" fontId="5" fillId="4" borderId="0" xfId="0" applyFont="1" applyFill="1"/>
    <xf numFmtId="3" fontId="2" fillId="4" borderId="1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167" fontId="11" fillId="4" borderId="5" xfId="1" applyNumberFormat="1" applyFont="1" applyFill="1" applyBorder="1"/>
    <xf numFmtId="0" fontId="5" fillId="4" borderId="4" xfId="0" applyFont="1" applyFill="1" applyBorder="1" applyAlignment="1">
      <alignment wrapText="1"/>
    </xf>
    <xf numFmtId="173" fontId="5" fillId="4" borderId="6" xfId="0" applyNumberFormat="1" applyFont="1" applyFill="1" applyBorder="1"/>
    <xf numFmtId="173" fontId="5" fillId="4" borderId="4" xfId="0" applyNumberFormat="1" applyFont="1" applyFill="1" applyBorder="1"/>
    <xf numFmtId="173" fontId="5" fillId="4" borderId="2" xfId="0" applyNumberFormat="1" applyFont="1" applyFill="1" applyBorder="1"/>
    <xf numFmtId="173" fontId="2" fillId="4" borderId="2" xfId="0" applyNumberFormat="1" applyFont="1" applyFill="1" applyBorder="1"/>
    <xf numFmtId="169" fontId="5" fillId="4" borderId="6" xfId="0" applyNumberFormat="1" applyFont="1" applyFill="1" applyBorder="1" applyAlignment="1">
      <alignment horizontal="right"/>
    </xf>
    <xf numFmtId="169" fontId="5" fillId="4" borderId="4" xfId="0" applyNumberFormat="1" applyFont="1" applyFill="1" applyBorder="1" applyAlignment="1">
      <alignment horizontal="right"/>
    </xf>
    <xf numFmtId="169" fontId="5" fillId="4" borderId="2" xfId="0" applyNumberFormat="1" applyFont="1" applyFill="1" applyBorder="1"/>
    <xf numFmtId="169" fontId="2" fillId="4" borderId="2" xfId="0" applyNumberFormat="1" applyFont="1" applyFill="1" applyBorder="1"/>
    <xf numFmtId="167" fontId="2" fillId="4" borderId="2" xfId="0" applyNumberFormat="1" applyFont="1" applyFill="1" applyBorder="1" applyAlignment="1">
      <alignment horizontal="right"/>
    </xf>
    <xf numFmtId="167" fontId="2" fillId="4" borderId="0" xfId="1" applyNumberFormat="1" applyFont="1" applyFill="1" applyBorder="1"/>
    <xf numFmtId="0" fontId="5" fillId="5" borderId="0" xfId="0" applyFont="1" applyFill="1"/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right"/>
    </xf>
    <xf numFmtId="0" fontId="2" fillId="5" borderId="0" xfId="0" applyFont="1" applyFill="1"/>
    <xf numFmtId="174" fontId="2" fillId="0" borderId="0" xfId="0" applyNumberFormat="1" applyFont="1"/>
    <xf numFmtId="0" fontId="2" fillId="3" borderId="12" xfId="0" applyFont="1" applyFill="1" applyBorder="1" applyAlignment="1">
      <alignment wrapText="1"/>
    </xf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0" fontId="2" fillId="3" borderId="15" xfId="0" applyFont="1" applyFill="1" applyBorder="1"/>
    <xf numFmtId="175" fontId="2" fillId="3" borderId="16" xfId="0" applyNumberFormat="1" applyFont="1" applyFill="1" applyBorder="1"/>
    <xf numFmtId="175" fontId="2" fillId="3" borderId="17" xfId="0" applyNumberFormat="1" applyFont="1" applyFill="1" applyBorder="1"/>
    <xf numFmtId="0" fontId="2" fillId="3" borderId="14" xfId="0" applyFont="1" applyFill="1" applyBorder="1" applyAlignment="1">
      <alignment wrapText="1"/>
    </xf>
    <xf numFmtId="0" fontId="2" fillId="3" borderId="17" xfId="0" applyFont="1" applyFill="1" applyBorder="1"/>
    <xf numFmtId="0" fontId="2" fillId="3" borderId="13" xfId="0" applyFont="1" applyFill="1" applyBorder="1"/>
    <xf numFmtId="0" fontId="2" fillId="3" borderId="18" xfId="0" applyFont="1" applyFill="1" applyBorder="1"/>
    <xf numFmtId="173" fontId="2" fillId="3" borderId="20" xfId="0" applyNumberFormat="1" applyFont="1" applyFill="1" applyBorder="1" applyAlignment="1">
      <alignment horizontal="right"/>
    </xf>
    <xf numFmtId="173" fontId="2" fillId="4" borderId="20" xfId="0" applyNumberFormat="1" applyFont="1" applyFill="1" applyBorder="1"/>
    <xf numFmtId="173" fontId="5" fillId="3" borderId="20" xfId="0" applyNumberFormat="1" applyFont="1" applyFill="1" applyBorder="1"/>
    <xf numFmtId="173" fontId="5" fillId="3" borderId="20" xfId="0" applyNumberFormat="1" applyFont="1" applyFill="1" applyBorder="1" applyAlignment="1">
      <alignment horizontal="right"/>
    </xf>
    <xf numFmtId="173" fontId="2" fillId="3" borderId="20" xfId="0" applyNumberFormat="1" applyFont="1" applyFill="1" applyBorder="1"/>
    <xf numFmtId="0" fontId="5" fillId="3" borderId="22" xfId="0" applyFont="1" applyFill="1" applyBorder="1" applyAlignment="1">
      <alignment horizontal="center"/>
    </xf>
    <xf numFmtId="0" fontId="2" fillId="3" borderId="23" xfId="0" applyFont="1" applyFill="1" applyBorder="1"/>
    <xf numFmtId="0" fontId="5" fillId="3" borderId="24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25" xfId="0" applyFont="1" applyFill="1" applyBorder="1"/>
    <xf numFmtId="173" fontId="2" fillId="4" borderId="20" xfId="0" applyNumberFormat="1" applyFont="1" applyFill="1" applyBorder="1" applyAlignment="1">
      <alignment horizontal="right"/>
    </xf>
    <xf numFmtId="0" fontId="2" fillId="3" borderId="19" xfId="0" applyFont="1" applyFill="1" applyBorder="1"/>
    <xf numFmtId="0" fontId="5" fillId="3" borderId="20" xfId="0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0" xfId="0" applyFont="1" applyFill="1" applyBorder="1"/>
    <xf numFmtId="172" fontId="2" fillId="3" borderId="20" xfId="0" applyNumberFormat="1" applyFont="1" applyFill="1" applyBorder="1"/>
    <xf numFmtId="172" fontId="2" fillId="4" borderId="20" xfId="0" applyNumberFormat="1" applyFont="1" applyFill="1" applyBorder="1" applyAlignment="1">
      <alignment horizontal="right"/>
    </xf>
    <xf numFmtId="172" fontId="2" fillId="3" borderId="20" xfId="0" applyNumberFormat="1" applyFont="1" applyFill="1" applyBorder="1" applyAlignment="1">
      <alignment horizontal="right"/>
    </xf>
    <xf numFmtId="172" fontId="5" fillId="3" borderId="20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3" fontId="2" fillId="4" borderId="22" xfId="0" applyNumberFormat="1" applyFont="1" applyFill="1" applyBorder="1" applyAlignment="1">
      <alignment horizontal="right"/>
    </xf>
    <xf numFmtId="167" fontId="11" fillId="4" borderId="2" xfId="1" applyNumberFormat="1" applyFont="1" applyFill="1" applyBorder="1"/>
    <xf numFmtId="167" fontId="11" fillId="4" borderId="0" xfId="1" applyNumberFormat="1" applyFont="1" applyFill="1" applyBorder="1"/>
    <xf numFmtId="167" fontId="11" fillId="4" borderId="22" xfId="1" applyNumberFormat="1" applyFont="1" applyFill="1" applyBorder="1"/>
    <xf numFmtId="0" fontId="24" fillId="3" borderId="24" xfId="0" applyFont="1" applyFill="1" applyBorder="1"/>
    <xf numFmtId="0" fontId="18" fillId="3" borderId="9" xfId="0" applyFont="1" applyFill="1" applyBorder="1" applyAlignment="1">
      <alignment horizontal="center"/>
    </xf>
    <xf numFmtId="3" fontId="2" fillId="3" borderId="12" xfId="0" applyNumberFormat="1" applyFont="1" applyFill="1" applyBorder="1"/>
    <xf numFmtId="175" fontId="2" fillId="3" borderId="15" xfId="0" applyNumberFormat="1" applyFont="1" applyFill="1" applyBorder="1"/>
    <xf numFmtId="169" fontId="2" fillId="0" borderId="16" xfId="0" applyNumberFormat="1" applyFont="1" applyBorder="1"/>
    <xf numFmtId="0" fontId="2" fillId="0" borderId="0" xfId="0" applyFont="1"/>
    <xf numFmtId="0" fontId="2" fillId="0" borderId="0" xfId="0" applyFont="1" applyFill="1"/>
    <xf numFmtId="173" fontId="2" fillId="6" borderId="2" xfId="0" applyNumberFormat="1" applyFont="1" applyFill="1" applyBorder="1" applyAlignment="1">
      <alignment horizontal="right"/>
    </xf>
    <xf numFmtId="173" fontId="2" fillId="6" borderId="2" xfId="0" applyNumberFormat="1" applyFont="1" applyFill="1" applyBorder="1"/>
    <xf numFmtId="176" fontId="2" fillId="6" borderId="5" xfId="6" applyNumberFormat="1" applyFont="1" applyFill="1" applyBorder="1"/>
    <xf numFmtId="176" fontId="2" fillId="6" borderId="2" xfId="6" applyNumberFormat="1" applyFont="1" applyFill="1" applyBorder="1"/>
    <xf numFmtId="176" fontId="2" fillId="6" borderId="3" xfId="6" applyNumberFormat="1" applyFont="1" applyFill="1" applyBorder="1"/>
    <xf numFmtId="176" fontId="13" fillId="4" borderId="5" xfId="6" applyNumberFormat="1" applyFont="1" applyFill="1" applyBorder="1"/>
    <xf numFmtId="176" fontId="13" fillId="4" borderId="2" xfId="6" applyNumberFormat="1" applyFont="1" applyFill="1" applyBorder="1"/>
    <xf numFmtId="176" fontId="13" fillId="4" borderId="3" xfId="6" applyNumberFormat="1" applyFont="1" applyFill="1" applyBorder="1"/>
    <xf numFmtId="0" fontId="17" fillId="0" borderId="0" xfId="0" applyFont="1"/>
    <xf numFmtId="9" fontId="2" fillId="0" borderId="0" xfId="1" applyFont="1" applyBorder="1"/>
    <xf numFmtId="172" fontId="2" fillId="6" borderId="20" xfId="0" applyNumberFormat="1" applyFont="1" applyFill="1" applyBorder="1" applyAlignment="1">
      <alignment horizontal="right"/>
    </xf>
    <xf numFmtId="172" fontId="5" fillId="6" borderId="20" xfId="0" applyNumberFormat="1" applyFont="1" applyFill="1" applyBorder="1" applyAlignment="1">
      <alignment horizontal="right"/>
    </xf>
    <xf numFmtId="167" fontId="11" fillId="4" borderId="3" xfId="1" applyNumberFormat="1" applyFont="1" applyFill="1" applyBorder="1"/>
    <xf numFmtId="176" fontId="25" fillId="0" borderId="0" xfId="0" applyNumberFormat="1" applyFont="1"/>
    <xf numFmtId="164" fontId="25" fillId="0" borderId="0" xfId="6" applyFont="1"/>
    <xf numFmtId="177" fontId="14" fillId="0" borderId="0" xfId="6" applyNumberFormat="1" applyFont="1"/>
    <xf numFmtId="172" fontId="20" fillId="4" borderId="0" xfId="0" applyNumberFormat="1" applyFont="1" applyFill="1"/>
    <xf numFmtId="0" fontId="18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168" fontId="2" fillId="4" borderId="0" xfId="0" applyNumberFormat="1" applyFont="1" applyFill="1"/>
    <xf numFmtId="173" fontId="2" fillId="4" borderId="8" xfId="0" applyNumberFormat="1" applyFont="1" applyFill="1" applyBorder="1" applyAlignment="1">
      <alignment horizontal="right"/>
    </xf>
    <xf numFmtId="173" fontId="2" fillId="3" borderId="3" xfId="0" applyNumberFormat="1" applyFont="1" applyFill="1" applyBorder="1" applyAlignment="1">
      <alignment horizontal="right"/>
    </xf>
    <xf numFmtId="173" fontId="2" fillId="4" borderId="3" xfId="0" applyNumberFormat="1" applyFont="1" applyFill="1" applyBorder="1" applyAlignment="1">
      <alignment horizontal="right"/>
    </xf>
    <xf numFmtId="173" fontId="5" fillId="3" borderId="3" xfId="0" applyNumberFormat="1" applyFont="1" applyFill="1" applyBorder="1"/>
    <xf numFmtId="173" fontId="5" fillId="3" borderId="3" xfId="0" applyNumberFormat="1" applyFont="1" applyFill="1" applyBorder="1" applyAlignment="1">
      <alignment horizontal="right"/>
    </xf>
    <xf numFmtId="172" fontId="12" fillId="4" borderId="0" xfId="0" applyNumberFormat="1" applyFont="1" applyFill="1"/>
    <xf numFmtId="172" fontId="2" fillId="4" borderId="8" xfId="0" applyNumberFormat="1" applyFont="1" applyFill="1" applyBorder="1" applyAlignment="1">
      <alignment horizontal="right"/>
    </xf>
    <xf numFmtId="172" fontId="2" fillId="3" borderId="3" xfId="0" applyNumberFormat="1" applyFont="1" applyFill="1" applyBorder="1" applyAlignment="1">
      <alignment horizontal="right"/>
    </xf>
    <xf numFmtId="172" fontId="2" fillId="4" borderId="3" xfId="0" applyNumberFormat="1" applyFont="1" applyFill="1" applyBorder="1" applyAlignment="1">
      <alignment horizontal="right"/>
    </xf>
    <xf numFmtId="172" fontId="5" fillId="3" borderId="3" xfId="0" applyNumberFormat="1" applyFont="1" applyFill="1" applyBorder="1" applyAlignment="1">
      <alignment horizontal="right"/>
    </xf>
    <xf numFmtId="172" fontId="2" fillId="6" borderId="3" xfId="0" applyNumberFormat="1" applyFont="1" applyFill="1" applyBorder="1" applyAlignment="1">
      <alignment horizontal="right"/>
    </xf>
    <xf numFmtId="172" fontId="5" fillId="6" borderId="3" xfId="0" applyNumberFormat="1" applyFont="1" applyFill="1" applyBorder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2" fillId="4" borderId="8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wrapText="1"/>
    </xf>
    <xf numFmtId="173" fontId="5" fillId="4" borderId="8" xfId="0" applyNumberFormat="1" applyFont="1" applyFill="1" applyBorder="1"/>
    <xf numFmtId="173" fontId="2" fillId="3" borderId="3" xfId="0" applyNumberFormat="1" applyFont="1" applyFill="1" applyBorder="1"/>
    <xf numFmtId="173" fontId="5" fillId="4" borderId="3" xfId="0" applyNumberFormat="1" applyFont="1" applyFill="1" applyBorder="1"/>
    <xf numFmtId="173" fontId="2" fillId="4" borderId="3" xfId="0" applyNumberFormat="1" applyFont="1" applyFill="1" applyBorder="1"/>
    <xf numFmtId="3" fontId="2" fillId="3" borderId="0" xfId="0" applyNumberFormat="1" applyFont="1" applyFill="1"/>
    <xf numFmtId="0" fontId="5" fillId="0" borderId="3" xfId="0" applyFont="1" applyBorder="1" applyAlignment="1">
      <alignment horizontal="right"/>
    </xf>
    <xf numFmtId="167" fontId="2" fillId="4" borderId="3" xfId="0" applyNumberFormat="1" applyFont="1" applyFill="1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170" fontId="9" fillId="2" borderId="3" xfId="0" applyNumberFormat="1" applyFont="1" applyFill="1" applyBorder="1"/>
    <xf numFmtId="170" fontId="9" fillId="3" borderId="3" xfId="0" applyNumberFormat="1" applyFont="1" applyFill="1" applyBorder="1"/>
    <xf numFmtId="170" fontId="9" fillId="0" borderId="0" xfId="0" applyNumberFormat="1" applyFont="1"/>
    <xf numFmtId="0" fontId="2" fillId="3" borderId="6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13" fillId="3" borderId="7" xfId="0" applyFont="1" applyFill="1" applyBorder="1" applyAlignment="1">
      <alignment horizontal="center"/>
    </xf>
    <xf numFmtId="173" fontId="2" fillId="4" borderId="0" xfId="0" applyNumberFormat="1" applyFont="1" applyFill="1" applyBorder="1" applyAlignment="1">
      <alignment horizontal="right"/>
    </xf>
    <xf numFmtId="173" fontId="2" fillId="3" borderId="0" xfId="0" applyNumberFormat="1" applyFont="1" applyFill="1" applyBorder="1" applyAlignment="1">
      <alignment horizontal="right"/>
    </xf>
    <xf numFmtId="173" fontId="5" fillId="3" borderId="0" xfId="0" applyNumberFormat="1" applyFont="1" applyFill="1" applyBorder="1"/>
    <xf numFmtId="173" fontId="5" fillId="3" borderId="0" xfId="0" applyNumberFormat="1" applyFont="1" applyFill="1" applyBorder="1" applyAlignment="1">
      <alignment horizontal="right"/>
    </xf>
    <xf numFmtId="173" fontId="2" fillId="4" borderId="2" xfId="0" applyNumberFormat="1" applyFont="1" applyFill="1" applyBorder="1" applyAlignment="1">
      <alignment horizontal="right"/>
    </xf>
    <xf numFmtId="173" fontId="2" fillId="3" borderId="2" xfId="0" applyNumberFormat="1" applyFont="1" applyFill="1" applyBorder="1" applyAlignment="1">
      <alignment horizontal="right"/>
    </xf>
    <xf numFmtId="173" fontId="5" fillId="3" borderId="2" xfId="0" applyNumberFormat="1" applyFont="1" applyFill="1" applyBorder="1"/>
    <xf numFmtId="173" fontId="5" fillId="3" borderId="2" xfId="0" applyNumberFormat="1" applyFont="1" applyFill="1" applyBorder="1" applyAlignment="1">
      <alignment horizontal="right"/>
    </xf>
    <xf numFmtId="173" fontId="2" fillId="4" borderId="6" xfId="0" applyNumberFormat="1" applyFont="1" applyFill="1" applyBorder="1" applyAlignment="1">
      <alignment horizontal="right"/>
    </xf>
    <xf numFmtId="173" fontId="2" fillId="4" borderId="4" xfId="0" applyNumberFormat="1" applyFont="1" applyFill="1" applyBorder="1" applyAlignment="1">
      <alignment horizontal="right"/>
    </xf>
    <xf numFmtId="172" fontId="2" fillId="4" borderId="0" xfId="0" applyNumberFormat="1" applyFont="1" applyFill="1" applyBorder="1" applyAlignment="1">
      <alignment horizontal="right"/>
    </xf>
    <xf numFmtId="172" fontId="2" fillId="3" borderId="0" xfId="0" applyNumberFormat="1" applyFont="1" applyFill="1" applyBorder="1" applyAlignment="1">
      <alignment horizontal="right"/>
    </xf>
    <xf numFmtId="172" fontId="5" fillId="3" borderId="0" xfId="0" applyNumberFormat="1" applyFont="1" applyFill="1" applyBorder="1" applyAlignment="1">
      <alignment horizontal="right"/>
    </xf>
    <xf numFmtId="172" fontId="2" fillId="4" borderId="4" xfId="0" applyNumberFormat="1" applyFont="1" applyFill="1" applyBorder="1" applyAlignment="1">
      <alignment horizontal="right"/>
    </xf>
    <xf numFmtId="172" fontId="2" fillId="4" borderId="6" xfId="0" applyNumberFormat="1" applyFont="1" applyFill="1" applyBorder="1" applyAlignment="1">
      <alignment horizontal="right"/>
    </xf>
    <xf numFmtId="172" fontId="2" fillId="3" borderId="2" xfId="0" applyNumberFormat="1" applyFont="1" applyFill="1" applyBorder="1" applyAlignment="1">
      <alignment horizontal="right"/>
    </xf>
    <xf numFmtId="172" fontId="2" fillId="4" borderId="2" xfId="0" applyNumberFormat="1" applyFont="1" applyFill="1" applyBorder="1" applyAlignment="1">
      <alignment horizontal="right"/>
    </xf>
    <xf numFmtId="172" fontId="5" fillId="3" borderId="2" xfId="0" applyNumberFormat="1" applyFont="1" applyFill="1" applyBorder="1" applyAlignment="1">
      <alignment horizontal="right"/>
    </xf>
    <xf numFmtId="172" fontId="2" fillId="6" borderId="2" xfId="0" applyNumberFormat="1" applyFont="1" applyFill="1" applyBorder="1" applyAlignment="1">
      <alignment horizontal="right"/>
    </xf>
    <xf numFmtId="172" fontId="5" fillId="6" borderId="2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6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176" fontId="13" fillId="4" borderId="0" xfId="6" applyNumberFormat="1" applyFont="1" applyFill="1" applyBorder="1"/>
    <xf numFmtId="176" fontId="2" fillId="6" borderId="0" xfId="6" applyNumberFormat="1" applyFont="1" applyFill="1" applyBorder="1"/>
    <xf numFmtId="173" fontId="2" fillId="3" borderId="0" xfId="0" applyNumberFormat="1" applyFont="1" applyFill="1" applyBorder="1"/>
    <xf numFmtId="173" fontId="5" fillId="4" borderId="0" xfId="0" applyNumberFormat="1" applyFont="1" applyFill="1" applyBorder="1"/>
    <xf numFmtId="173" fontId="2" fillId="4" borderId="0" xfId="0" applyNumberFormat="1" applyFont="1" applyFill="1" applyBorder="1"/>
    <xf numFmtId="173" fontId="5" fillId="0" borderId="0" xfId="0" applyNumberFormat="1" applyFont="1" applyBorder="1"/>
    <xf numFmtId="173" fontId="5" fillId="5" borderId="0" xfId="0" applyNumberFormat="1" applyFont="1" applyFill="1" applyBorder="1"/>
    <xf numFmtId="173" fontId="2" fillId="3" borderId="0" xfId="0" applyNumberFormat="1" applyFont="1" applyFill="1" applyBorder="1" applyAlignment="1">
      <alignment vertical="top"/>
    </xf>
    <xf numFmtId="173" fontId="2" fillId="0" borderId="0" xfId="0" applyNumberFormat="1" applyFont="1" applyBorder="1"/>
    <xf numFmtId="171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2" fillId="3" borderId="4" xfId="0" applyNumberFormat="1" applyFont="1" applyFill="1" applyBorder="1"/>
    <xf numFmtId="0" fontId="18" fillId="3" borderId="6" xfId="0" applyFont="1" applyFill="1" applyBorder="1"/>
    <xf numFmtId="0" fontId="18" fillId="3" borderId="8" xfId="0" applyFont="1" applyFill="1" applyBorder="1"/>
    <xf numFmtId="170" fontId="9" fillId="2" borderId="0" xfId="0" applyNumberFormat="1" applyFont="1" applyFill="1" applyBorder="1"/>
    <xf numFmtId="170" fontId="9" fillId="3" borderId="0" xfId="0" applyNumberFormat="1" applyFont="1" applyFill="1" applyBorder="1"/>
    <xf numFmtId="173" fontId="5" fillId="0" borderId="0" xfId="0" applyNumberFormat="1" applyFont="1" applyFill="1" applyBorder="1"/>
    <xf numFmtId="164" fontId="15" fillId="2" borderId="0" xfId="6" applyFont="1" applyFill="1"/>
    <xf numFmtId="0" fontId="0" fillId="0" borderId="0" xfId="0" applyBorder="1"/>
    <xf numFmtId="167" fontId="2" fillId="4" borderId="0" xfId="0" applyNumberFormat="1" applyFont="1" applyFill="1" applyBorder="1" applyAlignment="1">
      <alignment horizontal="right"/>
    </xf>
    <xf numFmtId="167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indent="1"/>
    </xf>
    <xf numFmtId="0" fontId="2" fillId="4" borderId="0" xfId="0" applyFont="1" applyFill="1" applyBorder="1"/>
    <xf numFmtId="172" fontId="2" fillId="4" borderId="0" xfId="0" applyNumberFormat="1" applyFont="1" applyFill="1" applyBorder="1"/>
    <xf numFmtId="0" fontId="2" fillId="3" borderId="0" xfId="2" applyFont="1" applyFill="1" applyBorder="1" applyAlignment="1">
      <alignment horizontal="left" vertical="center" wrapText="1" indent="2"/>
    </xf>
    <xf numFmtId="0" fontId="5" fillId="3" borderId="0" xfId="2" applyFont="1" applyFill="1" applyBorder="1" applyAlignment="1">
      <alignment horizontal="left" vertical="center" wrapText="1" indent="3"/>
    </xf>
    <xf numFmtId="0" fontId="2" fillId="3" borderId="0" xfId="2" applyFont="1" applyFill="1" applyBorder="1" applyAlignment="1">
      <alignment horizontal="left" vertical="center" wrapText="1" indent="4"/>
    </xf>
    <xf numFmtId="172" fontId="2" fillId="4" borderId="26" xfId="0" applyNumberFormat="1" applyFont="1" applyFill="1" applyBorder="1" applyAlignment="1">
      <alignment horizontal="right"/>
    </xf>
    <xf numFmtId="172" fontId="2" fillId="4" borderId="1" xfId="0" applyNumberFormat="1" applyFont="1" applyFill="1" applyBorder="1" applyAlignment="1">
      <alignment horizontal="right"/>
    </xf>
    <xf numFmtId="172" fontId="2" fillId="4" borderId="7" xfId="0" applyNumberFormat="1" applyFont="1" applyFill="1" applyBorder="1" applyAlignment="1">
      <alignment horizontal="right"/>
    </xf>
    <xf numFmtId="172" fontId="2" fillId="4" borderId="9" xfId="0" applyNumberFormat="1" applyFont="1" applyFill="1" applyBorder="1" applyAlignment="1">
      <alignment horizontal="right"/>
    </xf>
    <xf numFmtId="173" fontId="2" fillId="4" borderId="26" xfId="0" applyNumberFormat="1" applyFont="1" applyFill="1" applyBorder="1"/>
    <xf numFmtId="173" fontId="2" fillId="4" borderId="26" xfId="0" applyNumberFormat="1" applyFont="1" applyFill="1" applyBorder="1" applyAlignment="1">
      <alignment horizontal="right"/>
    </xf>
    <xf numFmtId="173" fontId="2" fillId="4" borderId="1" xfId="0" applyNumberFormat="1" applyFont="1" applyFill="1" applyBorder="1" applyAlignment="1">
      <alignment horizontal="right"/>
    </xf>
    <xf numFmtId="173" fontId="2" fillId="4" borderId="7" xfId="0" applyNumberFormat="1" applyFont="1" applyFill="1" applyBorder="1" applyAlignment="1">
      <alignment horizontal="right"/>
    </xf>
    <xf numFmtId="173" fontId="2" fillId="4" borderId="9" xfId="0" applyNumberFormat="1" applyFont="1" applyFill="1" applyBorder="1" applyAlignment="1">
      <alignment horizontal="right"/>
    </xf>
    <xf numFmtId="3" fontId="2" fillId="4" borderId="10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2" fillId="4" borderId="27" xfId="0" applyNumberFormat="1" applyFont="1" applyFill="1" applyBorder="1" applyAlignment="1">
      <alignment horizontal="right"/>
    </xf>
    <xf numFmtId="3" fontId="2" fillId="4" borderId="9" xfId="0" applyNumberFormat="1" applyFont="1" applyFill="1" applyBorder="1" applyAlignment="1">
      <alignment horizontal="right"/>
    </xf>
    <xf numFmtId="3" fontId="2" fillId="3" borderId="28" xfId="0" applyNumberFormat="1" applyFont="1" applyFill="1" applyBorder="1"/>
    <xf numFmtId="169" fontId="5" fillId="5" borderId="0" xfId="0" applyNumberFormat="1" applyFont="1" applyFill="1" applyBorder="1"/>
    <xf numFmtId="179" fontId="0" fillId="0" borderId="0" xfId="0" applyNumberFormat="1"/>
    <xf numFmtId="9" fontId="0" fillId="0" borderId="0" xfId="1" applyFont="1"/>
    <xf numFmtId="0" fontId="2" fillId="4" borderId="6" xfId="0" applyFont="1" applyFill="1" applyBorder="1"/>
    <xf numFmtId="0" fontId="2" fillId="4" borderId="4" xfId="0" applyFont="1" applyFill="1" applyBorder="1"/>
    <xf numFmtId="167" fontId="11" fillId="4" borderId="11" xfId="1" applyNumberFormat="1" applyFont="1" applyFill="1" applyBorder="1"/>
    <xf numFmtId="167" fontId="11" fillId="4" borderId="6" xfId="1" applyNumberFormat="1" applyFont="1" applyFill="1" applyBorder="1"/>
    <xf numFmtId="167" fontId="11" fillId="4" borderId="29" xfId="1" applyNumberFormat="1" applyFont="1" applyFill="1" applyBorder="1"/>
    <xf numFmtId="167" fontId="11" fillId="4" borderId="4" xfId="1" applyNumberFormat="1" applyFont="1" applyFill="1" applyBorder="1"/>
    <xf numFmtId="167" fontId="11" fillId="4" borderId="8" xfId="1" applyNumberFormat="1" applyFont="1" applyFill="1" applyBorder="1"/>
    <xf numFmtId="0" fontId="2" fillId="4" borderId="2" xfId="0" applyFont="1" applyFill="1" applyBorder="1"/>
    <xf numFmtId="0" fontId="2" fillId="4" borderId="7" xfId="0" applyFont="1" applyFill="1" applyBorder="1"/>
    <xf numFmtId="167" fontId="11" fillId="4" borderId="10" xfId="1" applyNumberFormat="1" applyFont="1" applyFill="1" applyBorder="1"/>
    <xf numFmtId="167" fontId="11" fillId="4" borderId="7" xfId="1" applyNumberFormat="1" applyFont="1" applyFill="1" applyBorder="1"/>
    <xf numFmtId="167" fontId="11" fillId="4" borderId="27" xfId="1" applyNumberFormat="1" applyFont="1" applyFill="1" applyBorder="1"/>
    <xf numFmtId="167" fontId="11" fillId="4" borderId="1" xfId="1" applyNumberFormat="1" applyFont="1" applyFill="1" applyBorder="1"/>
    <xf numFmtId="167" fontId="11" fillId="4" borderId="9" xfId="1" applyNumberFormat="1" applyFont="1" applyFill="1" applyBorder="1"/>
    <xf numFmtId="173" fontId="2" fillId="4" borderId="30" xfId="0" applyNumberFormat="1" applyFont="1" applyFill="1" applyBorder="1"/>
    <xf numFmtId="173" fontId="2" fillId="4" borderId="30" xfId="0" applyNumberFormat="1" applyFont="1" applyFill="1" applyBorder="1" applyAlignment="1">
      <alignment horizontal="right"/>
    </xf>
    <xf numFmtId="173" fontId="2" fillId="4" borderId="4" xfId="0" applyNumberFormat="1" applyFont="1" applyFill="1" applyBorder="1"/>
    <xf numFmtId="165" fontId="2" fillId="3" borderId="2" xfId="2" applyNumberFormat="1" applyFont="1" applyFill="1" applyBorder="1" applyAlignment="1">
      <alignment horizontal="left" vertical="center" indent="1"/>
    </xf>
    <xf numFmtId="165" fontId="2" fillId="3" borderId="0" xfId="2" applyNumberFormat="1" applyFont="1" applyFill="1" applyBorder="1" applyAlignment="1">
      <alignment horizontal="left" vertical="center" indent="1"/>
    </xf>
    <xf numFmtId="165" fontId="2" fillId="3" borderId="2" xfId="2" applyNumberFormat="1" applyFont="1" applyFill="1" applyBorder="1" applyAlignment="1">
      <alignment horizontal="left" indent="1"/>
    </xf>
    <xf numFmtId="165" fontId="2" fillId="3" borderId="0" xfId="2" applyNumberFormat="1" applyFont="1" applyFill="1" applyBorder="1" applyAlignment="1">
      <alignment horizontal="left" indent="1"/>
    </xf>
    <xf numFmtId="165" fontId="2" fillId="3" borderId="2" xfId="2" applyNumberFormat="1" applyFont="1" applyFill="1" applyBorder="1" applyAlignment="1">
      <alignment horizontal="left" vertical="top" wrapText="1" indent="1"/>
    </xf>
    <xf numFmtId="165" fontId="2" fillId="3" borderId="0" xfId="2" applyNumberFormat="1" applyFont="1" applyFill="1" applyBorder="1" applyAlignment="1">
      <alignment horizontal="left" vertical="top" wrapText="1" indent="1"/>
    </xf>
    <xf numFmtId="165" fontId="2" fillId="3" borderId="2" xfId="2" applyNumberFormat="1" applyFont="1" applyFill="1" applyBorder="1" applyAlignment="1">
      <alignment horizontal="left" vertical="center" wrapText="1" indent="1"/>
    </xf>
    <xf numFmtId="165" fontId="2" fillId="3" borderId="0" xfId="2" applyNumberFormat="1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3" borderId="2" xfId="2" applyFont="1" applyFill="1" applyBorder="1" applyAlignment="1">
      <alignment horizontal="left" vertical="center" wrapText="1" indent="1"/>
    </xf>
    <xf numFmtId="0" fontId="2" fillId="3" borderId="0" xfId="2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indent="1"/>
    </xf>
    <xf numFmtId="0" fontId="5" fillId="3" borderId="2" xfId="0" applyFont="1" applyFill="1" applyBorder="1" applyAlignment="1">
      <alignment horizontal="left" indent="2"/>
    </xf>
    <xf numFmtId="0" fontId="5" fillId="3" borderId="0" xfId="0" applyFont="1" applyFill="1" applyBorder="1" applyAlignment="1">
      <alignment horizontal="left" indent="2"/>
    </xf>
    <xf numFmtId="0" fontId="2" fillId="3" borderId="2" xfId="2" applyFont="1" applyFill="1" applyBorder="1" applyAlignment="1">
      <alignment horizontal="left" vertical="center" wrapText="1" indent="3"/>
    </xf>
    <xf numFmtId="0" fontId="2" fillId="3" borderId="0" xfId="2" applyFont="1" applyFill="1" applyBorder="1" applyAlignment="1">
      <alignment horizontal="left" vertical="center" wrapText="1" indent="3"/>
    </xf>
    <xf numFmtId="0" fontId="5" fillId="3" borderId="2" xfId="2" applyFont="1" applyFill="1" applyBorder="1" applyAlignment="1">
      <alignment horizontal="left" vertical="center" wrapText="1" indent="4"/>
    </xf>
    <xf numFmtId="0" fontId="5" fillId="3" borderId="0" xfId="2" applyFont="1" applyFill="1" applyBorder="1" applyAlignment="1">
      <alignment horizontal="left" vertical="center" wrapText="1" indent="4"/>
    </xf>
    <xf numFmtId="0" fontId="2" fillId="3" borderId="2" xfId="2" applyFont="1" applyFill="1" applyBorder="1" applyAlignment="1">
      <alignment horizontal="left" vertical="center" wrapText="1" indent="5"/>
    </xf>
    <xf numFmtId="0" fontId="2" fillId="3" borderId="0" xfId="2" applyFont="1" applyFill="1" applyBorder="1" applyAlignment="1">
      <alignment horizontal="left" vertical="center" wrapText="1" indent="5"/>
    </xf>
    <xf numFmtId="172" fontId="2" fillId="4" borderId="30" xfId="0" applyNumberFormat="1" applyFont="1" applyFill="1" applyBorder="1" applyAlignment="1">
      <alignment horizontal="right"/>
    </xf>
    <xf numFmtId="172" fontId="17" fillId="4" borderId="4" xfId="0" applyNumberFormat="1" applyFont="1" applyFill="1" applyBorder="1"/>
    <xf numFmtId="0" fontId="2" fillId="3" borderId="2" xfId="2" applyFont="1" applyFill="1" applyBorder="1" applyAlignment="1">
      <alignment horizontal="left" vertical="center" wrapText="1" indent="2"/>
    </xf>
    <xf numFmtId="0" fontId="5" fillId="3" borderId="2" xfId="2" applyFont="1" applyFill="1" applyBorder="1" applyAlignment="1">
      <alignment horizontal="left" vertical="center" wrapText="1" indent="3"/>
    </xf>
    <xf numFmtId="0" fontId="2" fillId="3" borderId="2" xfId="2" applyFont="1" applyFill="1" applyBorder="1" applyAlignment="1">
      <alignment horizontal="left" vertical="center" wrapText="1" indent="4"/>
    </xf>
    <xf numFmtId="0" fontId="2" fillId="4" borderId="2" xfId="2" applyFont="1" applyFill="1" applyBorder="1" applyAlignment="1">
      <alignment vertical="center" wrapText="1"/>
    </xf>
    <xf numFmtId="0" fontId="5" fillId="4" borderId="0" xfId="0" applyFont="1" applyFill="1" applyBorder="1"/>
    <xf numFmtId="3" fontId="2" fillId="4" borderId="0" xfId="0" applyNumberFormat="1" applyFont="1" applyFill="1" applyBorder="1"/>
    <xf numFmtId="3" fontId="2" fillId="4" borderId="11" xfId="0" applyNumberFormat="1" applyFont="1" applyFill="1" applyBorder="1" applyAlignment="1">
      <alignment horizontal="right"/>
    </xf>
    <xf numFmtId="3" fontId="2" fillId="4" borderId="29" xfId="0" applyNumberFormat="1" applyFont="1" applyFill="1" applyBorder="1" applyAlignment="1">
      <alignment horizontal="right"/>
    </xf>
    <xf numFmtId="0" fontId="13" fillId="4" borderId="6" xfId="0" applyFont="1" applyFill="1" applyBorder="1" applyAlignment="1">
      <alignment wrapText="1"/>
    </xf>
    <xf numFmtId="176" fontId="13" fillId="4" borderId="11" xfId="6" applyNumberFormat="1" applyFont="1" applyFill="1" applyBorder="1"/>
    <xf numFmtId="176" fontId="13" fillId="4" borderId="6" xfId="6" applyNumberFormat="1" applyFont="1" applyFill="1" applyBorder="1"/>
    <xf numFmtId="176" fontId="13" fillId="4" borderId="4" xfId="6" applyNumberFormat="1" applyFont="1" applyFill="1" applyBorder="1"/>
    <xf numFmtId="176" fontId="13" fillId="4" borderId="8" xfId="6" applyNumberFormat="1" applyFont="1" applyFill="1" applyBorder="1"/>
    <xf numFmtId="0" fontId="2" fillId="6" borderId="2" xfId="0" applyFont="1" applyFill="1" applyBorder="1" applyAlignment="1">
      <alignment horizontal="left" indent="1"/>
    </xf>
    <xf numFmtId="0" fontId="2" fillId="6" borderId="0" xfId="0" applyFont="1" applyFill="1" applyBorder="1"/>
    <xf numFmtId="0" fontId="2" fillId="6" borderId="2" xfId="0" applyFont="1" applyFill="1" applyBorder="1" applyAlignment="1">
      <alignment horizontal="left" wrapText="1" indent="1"/>
    </xf>
    <xf numFmtId="0" fontId="13" fillId="4" borderId="2" xfId="0" applyFont="1" applyFill="1" applyBorder="1"/>
    <xf numFmtId="0" fontId="2" fillId="6" borderId="7" xfId="0" applyFont="1" applyFill="1" applyBorder="1" applyAlignment="1">
      <alignment horizontal="left" indent="1"/>
    </xf>
    <xf numFmtId="0" fontId="2" fillId="6" borderId="1" xfId="0" applyFont="1" applyFill="1" applyBorder="1"/>
    <xf numFmtId="176" fontId="2" fillId="6" borderId="10" xfId="6" applyNumberFormat="1" applyFont="1" applyFill="1" applyBorder="1"/>
    <xf numFmtId="176" fontId="2" fillId="6" borderId="7" xfId="6" applyNumberFormat="1" applyFont="1" applyFill="1" applyBorder="1"/>
    <xf numFmtId="176" fontId="2" fillId="6" borderId="1" xfId="6" applyNumberFormat="1" applyFont="1" applyFill="1" applyBorder="1"/>
    <xf numFmtId="176" fontId="2" fillId="6" borderId="9" xfId="6" applyNumberFormat="1" applyFont="1" applyFill="1" applyBorder="1"/>
    <xf numFmtId="0" fontId="2" fillId="0" borderId="0" xfId="0" applyFont="1" applyBorder="1" applyAlignment="1">
      <alignment horizontal="left" wrapText="1"/>
    </xf>
    <xf numFmtId="0" fontId="5" fillId="5" borderId="0" xfId="0" applyFont="1" applyFill="1" applyBorder="1" applyAlignment="1">
      <alignment horizontal="left" vertical="top" wrapText="1"/>
    </xf>
    <xf numFmtId="164" fontId="15" fillId="2" borderId="0" xfId="6" applyFont="1" applyFill="1" applyBorder="1"/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3" fillId="2" borderId="0" xfId="0" applyFont="1" applyFill="1" applyBorder="1"/>
    <xf numFmtId="166" fontId="2" fillId="0" borderId="0" xfId="0" applyNumberFormat="1" applyFont="1" applyBorder="1" applyAlignment="1">
      <alignment horizontal="left" wrapText="1"/>
    </xf>
    <xf numFmtId="166" fontId="2" fillId="5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5" fillId="5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2" borderId="0" xfId="0" applyFill="1" applyBorder="1"/>
    <xf numFmtId="0" fontId="2" fillId="4" borderId="0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3" fillId="5" borderId="0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 indent="1"/>
    </xf>
    <xf numFmtId="0" fontId="2" fillId="3" borderId="0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vertical="top" wrapText="1" indent="1"/>
    </xf>
    <xf numFmtId="0" fontId="2" fillId="3" borderId="0" xfId="0" applyFont="1" applyFill="1" applyBorder="1" applyAlignment="1">
      <alignment horizontal="left" vertical="top" wrapText="1" indent="1"/>
    </xf>
    <xf numFmtId="0" fontId="5" fillId="4" borderId="2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173" fontId="5" fillId="4" borderId="7" xfId="0" applyNumberFormat="1" applyFont="1" applyFill="1" applyBorder="1"/>
    <xf numFmtId="173" fontId="5" fillId="4" borderId="1" xfId="0" applyNumberFormat="1" applyFont="1" applyFill="1" applyBorder="1"/>
    <xf numFmtId="173" fontId="5" fillId="4" borderId="9" xfId="0" applyNumberFormat="1" applyFont="1" applyFill="1" applyBorder="1"/>
    <xf numFmtId="0" fontId="5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left" vertical="top" wrapText="1" indent="1"/>
    </xf>
    <xf numFmtId="173" fontId="2" fillId="3" borderId="7" xfId="0" applyNumberFormat="1" applyFont="1" applyFill="1" applyBorder="1"/>
    <xf numFmtId="173" fontId="2" fillId="3" borderId="1" xfId="0" applyNumberFormat="1" applyFont="1" applyFill="1" applyBorder="1"/>
    <xf numFmtId="173" fontId="2" fillId="3" borderId="9" xfId="0" applyNumberFormat="1" applyFont="1" applyFill="1" applyBorder="1"/>
    <xf numFmtId="0" fontId="2" fillId="4" borderId="6" xfId="0" applyFont="1" applyFill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173" fontId="2" fillId="4" borderId="6" xfId="0" applyNumberFormat="1" applyFont="1" applyFill="1" applyBorder="1"/>
    <xf numFmtId="173" fontId="2" fillId="4" borderId="8" xfId="0" applyNumberFormat="1" applyFont="1" applyFill="1" applyBorder="1"/>
    <xf numFmtId="173" fontId="2" fillId="6" borderId="0" xfId="0" applyNumberFormat="1" applyFont="1" applyFill="1" applyBorder="1"/>
    <xf numFmtId="173" fontId="2" fillId="6" borderId="0" xfId="0" applyNumberFormat="1" applyFont="1" applyFill="1" applyBorder="1" applyAlignment="1">
      <alignment vertical="top"/>
    </xf>
    <xf numFmtId="0" fontId="2" fillId="3" borderId="7" xfId="0" applyFont="1" applyFill="1" applyBorder="1" applyAlignment="1">
      <alignment horizontal="left" wrapText="1" indent="1"/>
    </xf>
    <xf numFmtId="0" fontId="2" fillId="3" borderId="1" xfId="0" applyFont="1" applyFill="1" applyBorder="1" applyAlignment="1">
      <alignment horizontal="left" wrapText="1" indent="1"/>
    </xf>
    <xf numFmtId="0" fontId="2" fillId="4" borderId="6" xfId="0" applyFont="1" applyFill="1" applyBorder="1" applyAlignment="1">
      <alignment wrapText="1"/>
    </xf>
    <xf numFmtId="0" fontId="2" fillId="4" borderId="2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wrapText="1"/>
    </xf>
    <xf numFmtId="173" fontId="2" fillId="6" borderId="1" xfId="0" applyNumberFormat="1" applyFont="1" applyFill="1" applyBorder="1"/>
    <xf numFmtId="0" fontId="5" fillId="5" borderId="6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73" fontId="5" fillId="5" borderId="4" xfId="0" applyNumberFormat="1" applyFont="1" applyFill="1" applyBorder="1"/>
    <xf numFmtId="178" fontId="5" fillId="5" borderId="4" xfId="0" applyNumberFormat="1" applyFont="1" applyFill="1" applyBorder="1"/>
    <xf numFmtId="173" fontId="5" fillId="5" borderId="8" xfId="0" applyNumberFormat="1" applyFont="1" applyFill="1" applyBorder="1"/>
    <xf numFmtId="176" fontId="2" fillId="3" borderId="0" xfId="6" applyNumberFormat="1" applyFont="1" applyFill="1" applyBorder="1"/>
    <xf numFmtId="176" fontId="2" fillId="3" borderId="1" xfId="6" applyNumberFormat="1" applyFont="1" applyFill="1" applyBorder="1"/>
    <xf numFmtId="173" fontId="5" fillId="5" borderId="6" xfId="0" applyNumberFormat="1" applyFont="1" applyFill="1" applyBorder="1"/>
    <xf numFmtId="173" fontId="5" fillId="5" borderId="11" xfId="0" applyNumberFormat="1" applyFont="1" applyFill="1" applyBorder="1"/>
    <xf numFmtId="173" fontId="2" fillId="3" borderId="5" xfId="0" applyNumberFormat="1" applyFont="1" applyFill="1" applyBorder="1"/>
    <xf numFmtId="173" fontId="2" fillId="3" borderId="10" xfId="0" applyNumberFormat="1" applyFont="1" applyFill="1" applyBorder="1"/>
    <xf numFmtId="1" fontId="18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/>
    <xf numFmtId="169" fontId="5" fillId="0" borderId="0" xfId="0" applyNumberFormat="1" applyFont="1" applyBorder="1"/>
    <xf numFmtId="0" fontId="5" fillId="5" borderId="0" xfId="0" applyFont="1" applyFill="1" applyBorder="1" applyAlignment="1">
      <alignment vertical="top" wrapText="1"/>
    </xf>
    <xf numFmtId="169" fontId="2" fillId="0" borderId="0" xfId="0" applyNumberFormat="1" applyFont="1" applyBorder="1"/>
    <xf numFmtId="0" fontId="5" fillId="5" borderId="0" xfId="0" applyFont="1" applyFill="1" applyBorder="1" applyAlignment="1">
      <alignment horizontal="left" wrapText="1"/>
    </xf>
    <xf numFmtId="169" fontId="2" fillId="0" borderId="0" xfId="0" applyNumberFormat="1" applyFont="1" applyBorder="1" applyAlignment="1">
      <alignment horizontal="right" vertical="center" wrapText="1"/>
    </xf>
    <xf numFmtId="169" fontId="5" fillId="5" borderId="0" xfId="0" applyNumberFormat="1" applyFont="1" applyFill="1" applyBorder="1" applyAlignment="1">
      <alignment horizontal="right" vertical="center" wrapText="1"/>
    </xf>
    <xf numFmtId="169" fontId="5" fillId="0" borderId="0" xfId="0" applyNumberFormat="1" applyFont="1" applyBorder="1" applyAlignment="1">
      <alignment horizontal="right" vertical="center" wrapText="1"/>
    </xf>
    <xf numFmtId="169" fontId="2" fillId="4" borderId="0" xfId="0" applyNumberFormat="1" applyFont="1" applyFill="1" applyBorder="1"/>
    <xf numFmtId="169" fontId="2" fillId="4" borderId="0" xfId="0" applyNumberFormat="1" applyFont="1" applyFill="1" applyBorder="1" applyAlignment="1">
      <alignment horizontal="right" vertical="center" wrapText="1"/>
    </xf>
    <xf numFmtId="3" fontId="5" fillId="5" borderId="0" xfId="0" applyNumberFormat="1" applyFont="1" applyFill="1" applyBorder="1"/>
    <xf numFmtId="3" fontId="5" fillId="5" borderId="0" xfId="0" applyNumberFormat="1" applyFont="1" applyFill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right" vertical="center" wrapText="1"/>
    </xf>
    <xf numFmtId="169" fontId="2" fillId="3" borderId="0" xfId="0" applyNumberFormat="1" applyFont="1" applyFill="1" applyBorder="1"/>
    <xf numFmtId="0" fontId="2" fillId="0" borderId="0" xfId="0" applyFont="1" applyFill="1" applyBorder="1" applyAlignment="1">
      <alignment horizontal="left" wrapText="1" indent="1"/>
    </xf>
    <xf numFmtId="169" fontId="2" fillId="0" borderId="0" xfId="0" applyNumberFormat="1" applyFont="1" applyFill="1" applyBorder="1"/>
    <xf numFmtId="169" fontId="9" fillId="0" borderId="0" xfId="0" applyNumberFormat="1" applyFont="1" applyFill="1" applyBorder="1" applyAlignment="1">
      <alignment horizontal="right" vertical="center" wrapText="1"/>
    </xf>
    <xf numFmtId="169" fontId="5" fillId="4" borderId="0" xfId="0" applyNumberFormat="1" applyFont="1" applyFill="1" applyBorder="1"/>
    <xf numFmtId="0" fontId="2" fillId="4" borderId="2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169" fontId="5" fillId="4" borderId="7" xfId="0" applyNumberFormat="1" applyFont="1" applyFill="1" applyBorder="1"/>
    <xf numFmtId="169" fontId="5" fillId="4" borderId="1" xfId="0" applyNumberFormat="1" applyFont="1" applyFill="1" applyBorder="1"/>
    <xf numFmtId="0" fontId="2" fillId="4" borderId="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169" fontId="5" fillId="4" borderId="6" xfId="0" applyNumberFormat="1" applyFont="1" applyFill="1" applyBorder="1"/>
    <xf numFmtId="169" fontId="5" fillId="4" borderId="4" xfId="0" applyNumberFormat="1" applyFont="1" applyFill="1" applyBorder="1"/>
    <xf numFmtId="169" fontId="2" fillId="3" borderId="7" xfId="0" applyNumberFormat="1" applyFont="1" applyFill="1" applyBorder="1"/>
    <xf numFmtId="169" fontId="2" fillId="3" borderId="1" xfId="0" applyNumberFormat="1" applyFont="1" applyFill="1" applyBorder="1"/>
    <xf numFmtId="169" fontId="2" fillId="4" borderId="6" xfId="0" applyNumberFormat="1" applyFont="1" applyFill="1" applyBorder="1"/>
    <xf numFmtId="169" fontId="2" fillId="4" borderId="4" xfId="0" applyNumberFormat="1" applyFont="1" applyFill="1" applyBorder="1"/>
    <xf numFmtId="169" fontId="2" fillId="4" borderId="4" xfId="0" applyNumberFormat="1" applyFont="1" applyFill="1" applyBorder="1" applyAlignment="1">
      <alignment horizontal="right" vertical="center" wrapText="1"/>
    </xf>
    <xf numFmtId="169" fontId="2" fillId="4" borderId="0" xfId="0" applyNumberFormat="1" applyFont="1" applyFill="1" applyBorder="1" applyAlignment="1">
      <alignment horizontal="right" wrapText="1"/>
    </xf>
    <xf numFmtId="169" fontId="5" fillId="5" borderId="6" xfId="0" applyNumberFormat="1" applyFont="1" applyFill="1" applyBorder="1"/>
    <xf numFmtId="169" fontId="5" fillId="5" borderId="4" xfId="0" applyNumberFormat="1" applyFont="1" applyFill="1" applyBorder="1"/>
    <xf numFmtId="167" fontId="2" fillId="0" borderId="0" xfId="1" applyNumberFormat="1" applyFont="1" applyBorder="1"/>
    <xf numFmtId="0" fontId="2" fillId="0" borderId="2" xfId="0" applyFont="1" applyBorder="1" applyAlignment="1">
      <alignment wrapText="1"/>
    </xf>
    <xf numFmtId="0" fontId="2" fillId="3" borderId="7" xfId="0" applyFont="1" applyFill="1" applyBorder="1"/>
    <xf numFmtId="0" fontId="2" fillId="3" borderId="6" xfId="0" applyFont="1" applyFill="1" applyBorder="1" applyAlignment="1">
      <alignment horizontal="left"/>
    </xf>
    <xf numFmtId="0" fontId="2" fillId="0" borderId="5" xfId="0" applyFont="1" applyBorder="1"/>
    <xf numFmtId="0" fontId="2" fillId="4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/>
    <xf numFmtId="167" fontId="21" fillId="3" borderId="11" xfId="0" applyNumberFormat="1" applyFont="1" applyFill="1" applyBorder="1" applyAlignment="1">
      <alignment horizontal="right"/>
    </xf>
    <xf numFmtId="167" fontId="2" fillId="3" borderId="4" xfId="0" applyNumberFormat="1" applyFont="1" applyFill="1" applyBorder="1" applyAlignment="1">
      <alignment horizontal="right"/>
    </xf>
    <xf numFmtId="167" fontId="2" fillId="3" borderId="6" xfId="0" applyNumberFormat="1" applyFont="1" applyFill="1" applyBorder="1" applyAlignment="1">
      <alignment horizontal="right"/>
    </xf>
    <xf numFmtId="167" fontId="2" fillId="3" borderId="8" xfId="0" applyNumberFormat="1" applyFont="1" applyFill="1" applyBorder="1" applyAlignment="1">
      <alignment horizontal="right"/>
    </xf>
    <xf numFmtId="167" fontId="21" fillId="3" borderId="5" xfId="0" applyNumberFormat="1" applyFont="1" applyFill="1" applyBorder="1" applyAlignment="1">
      <alignment horizontal="right"/>
    </xf>
    <xf numFmtId="167" fontId="2" fillId="3" borderId="2" xfId="0" applyNumberFormat="1" applyFont="1" applyFill="1" applyBorder="1" applyAlignment="1">
      <alignment horizontal="right"/>
    </xf>
    <xf numFmtId="167" fontId="2" fillId="3" borderId="3" xfId="0" applyNumberFormat="1" applyFont="1" applyFill="1" applyBorder="1" applyAlignment="1">
      <alignment horizontal="right"/>
    </xf>
    <xf numFmtId="10" fontId="2" fillId="0" borderId="5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7" fontId="17" fillId="4" borderId="2" xfId="1" applyNumberFormat="1" applyFont="1" applyFill="1" applyBorder="1" applyAlignment="1">
      <alignment horizontal="right"/>
    </xf>
    <xf numFmtId="167" fontId="2" fillId="4" borderId="5" xfId="0" applyNumberFormat="1" applyFont="1" applyFill="1" applyBorder="1" applyAlignment="1">
      <alignment horizontal="right"/>
    </xf>
    <xf numFmtId="167" fontId="21" fillId="0" borderId="5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167" fontId="2" fillId="6" borderId="0" xfId="0" applyNumberFormat="1" applyFont="1" applyFill="1" applyBorder="1" applyAlignment="1">
      <alignment horizontal="right"/>
    </xf>
    <xf numFmtId="167" fontId="2" fillId="6" borderId="10" xfId="0" applyNumberFormat="1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right"/>
    </xf>
    <xf numFmtId="167" fontId="2" fillId="3" borderId="7" xfId="0" applyNumberFormat="1" applyFont="1" applyFill="1" applyBorder="1" applyAlignment="1">
      <alignment horizontal="right"/>
    </xf>
    <xf numFmtId="167" fontId="17" fillId="4" borderId="6" xfId="1" applyNumberFormat="1" applyFont="1" applyFill="1" applyBorder="1" applyAlignment="1">
      <alignment horizontal="right"/>
    </xf>
    <xf numFmtId="167" fontId="2" fillId="4" borderId="6" xfId="1" applyNumberFormat="1" applyFont="1" applyFill="1" applyBorder="1" applyAlignment="1">
      <alignment horizontal="right"/>
    </xf>
    <xf numFmtId="167" fontId="2" fillId="4" borderId="4" xfId="1" applyNumberFormat="1" applyFont="1" applyFill="1" applyBorder="1" applyAlignment="1">
      <alignment horizontal="right"/>
    </xf>
    <xf numFmtId="167" fontId="2" fillId="4" borderId="8" xfId="1" applyNumberFormat="1" applyFont="1" applyFill="1" applyBorder="1" applyAlignment="1">
      <alignment horizontal="right"/>
    </xf>
    <xf numFmtId="167" fontId="2" fillId="4" borderId="0" xfId="1" applyNumberFormat="1" applyFont="1" applyFill="1" applyBorder="1" applyAlignment="1">
      <alignment horizontal="right"/>
    </xf>
    <xf numFmtId="167" fontId="2" fillId="4" borderId="2" xfId="1" applyNumberFormat="1" applyFont="1" applyFill="1" applyBorder="1" applyAlignment="1">
      <alignment horizontal="right"/>
    </xf>
    <xf numFmtId="167" fontId="2" fillId="4" borderId="3" xfId="1" applyNumberFormat="1" applyFont="1" applyFill="1" applyBorder="1" applyAlignment="1">
      <alignment horizontal="right"/>
    </xf>
    <xf numFmtId="167" fontId="2" fillId="3" borderId="2" xfId="1" applyNumberFormat="1" applyFont="1" applyFill="1" applyBorder="1" applyAlignment="1">
      <alignment horizontal="right"/>
    </xf>
    <xf numFmtId="167" fontId="2" fillId="3" borderId="0" xfId="1" applyNumberFormat="1" applyFont="1" applyFill="1" applyBorder="1" applyAlignment="1">
      <alignment horizontal="right"/>
    </xf>
    <xf numFmtId="167" fontId="2" fillId="3" borderId="3" xfId="1" applyNumberFormat="1" applyFont="1" applyFill="1" applyBorder="1" applyAlignment="1">
      <alignment horizontal="right"/>
    </xf>
    <xf numFmtId="167" fontId="2" fillId="3" borderId="5" xfId="0" applyNumberFormat="1" applyFont="1" applyFill="1" applyBorder="1" applyAlignment="1">
      <alignment horizontal="right"/>
    </xf>
    <xf numFmtId="167" fontId="2" fillId="0" borderId="5" xfId="0" applyNumberFormat="1" applyFont="1" applyBorder="1" applyAlignment="1">
      <alignment horizontal="right" wrapText="1"/>
    </xf>
    <xf numFmtId="167" fontId="2" fillId="0" borderId="0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9" fontId="2" fillId="0" borderId="2" xfId="0" applyNumberFormat="1" applyFont="1" applyBorder="1" applyAlignment="1">
      <alignment horizontal="right"/>
    </xf>
    <xf numFmtId="9" fontId="2" fillId="0" borderId="0" xfId="0" applyNumberFormat="1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167" fontId="2" fillId="6" borderId="2" xfId="0" applyNumberFormat="1" applyFont="1" applyFill="1" applyBorder="1" applyAlignment="1">
      <alignment horizontal="right"/>
    </xf>
    <xf numFmtId="167" fontId="2" fillId="6" borderId="3" xfId="0" applyNumberFormat="1" applyFont="1" applyFill="1" applyBorder="1" applyAlignment="1">
      <alignment horizontal="right"/>
    </xf>
    <xf numFmtId="167" fontId="2" fillId="3" borderId="10" xfId="0" applyNumberFormat="1" applyFont="1" applyFill="1" applyBorder="1" applyAlignment="1">
      <alignment horizontal="right"/>
    </xf>
    <xf numFmtId="167" fontId="2" fillId="3" borderId="9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167" fontId="17" fillId="4" borderId="4" xfId="1" applyNumberFormat="1" applyFont="1" applyFill="1" applyBorder="1" applyAlignment="1">
      <alignment horizontal="right"/>
    </xf>
    <xf numFmtId="167" fontId="2" fillId="4" borderId="4" xfId="0" applyNumberFormat="1" applyFont="1" applyFill="1" applyBorder="1" applyAlignment="1">
      <alignment horizontal="right"/>
    </xf>
    <xf numFmtId="167" fontId="2" fillId="4" borderId="8" xfId="0" applyNumberFormat="1" applyFont="1" applyFill="1" applyBorder="1" applyAlignment="1">
      <alignment horizontal="right"/>
    </xf>
    <xf numFmtId="167" fontId="17" fillId="4" borderId="0" xfId="1" applyNumberFormat="1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167" fontId="17" fillId="0" borderId="2" xfId="1" applyNumberFormat="1" applyFont="1" applyBorder="1" applyAlignment="1">
      <alignment horizontal="right"/>
    </xf>
    <xf numFmtId="167" fontId="17" fillId="0" borderId="0" xfId="1" applyNumberFormat="1" applyFont="1" applyBorder="1" applyAlignment="1">
      <alignment horizontal="right"/>
    </xf>
    <xf numFmtId="167" fontId="17" fillId="0" borderId="3" xfId="1" applyNumberFormat="1" applyFont="1" applyBorder="1" applyAlignment="1">
      <alignment horizontal="right"/>
    </xf>
    <xf numFmtId="167" fontId="2" fillId="4" borderId="9" xfId="0" applyNumberFormat="1" applyFont="1" applyFill="1" applyBorder="1" applyAlignment="1">
      <alignment horizontal="right"/>
    </xf>
    <xf numFmtId="167" fontId="2" fillId="4" borderId="7" xfId="0" applyNumberFormat="1" applyFont="1" applyFill="1" applyBorder="1" applyAlignment="1">
      <alignment horizontal="right"/>
    </xf>
    <xf numFmtId="167" fontId="2" fillId="4" borderId="1" xfId="0" applyNumberFormat="1" applyFont="1" applyFill="1" applyBorder="1" applyAlignment="1">
      <alignment horizontal="right"/>
    </xf>
    <xf numFmtId="169" fontId="5" fillId="3" borderId="9" xfId="0" applyNumberFormat="1" applyFont="1" applyFill="1" applyBorder="1" applyAlignment="1"/>
    <xf numFmtId="0" fontId="2" fillId="0" borderId="0" xfId="0" applyFont="1" applyAlignment="1"/>
    <xf numFmtId="169" fontId="8" fillId="0" borderId="0" xfId="0" applyNumberFormat="1" applyFont="1" applyAlignment="1"/>
    <xf numFmtId="0" fontId="8" fillId="0" borderId="0" xfId="0" applyFont="1" applyAlignment="1"/>
    <xf numFmtId="0" fontId="5" fillId="4" borderId="6" xfId="0" applyFont="1" applyFill="1" applyBorder="1"/>
    <xf numFmtId="0" fontId="5" fillId="4" borderId="4" xfId="0" applyFont="1" applyFill="1" applyBorder="1"/>
    <xf numFmtId="170" fontId="18" fillId="4" borderId="6" xfId="0" applyNumberFormat="1" applyFont="1" applyFill="1" applyBorder="1"/>
    <xf numFmtId="170" fontId="18" fillId="4" borderId="4" xfId="0" applyNumberFormat="1" applyFont="1" applyFill="1" applyBorder="1"/>
    <xf numFmtId="169" fontId="18" fillId="4" borderId="4" xfId="0" applyNumberFormat="1" applyFont="1" applyFill="1" applyBorder="1"/>
    <xf numFmtId="170" fontId="18" fillId="4" borderId="8" xfId="0" applyNumberFormat="1" applyFont="1" applyFill="1" applyBorder="1"/>
    <xf numFmtId="0" fontId="7" fillId="0" borderId="2" xfId="0" applyFont="1" applyBorder="1"/>
    <xf numFmtId="0" fontId="7" fillId="0" borderId="0" xfId="0" applyFont="1" applyBorder="1"/>
    <xf numFmtId="169" fontId="9" fillId="0" borderId="0" xfId="0" applyNumberFormat="1" applyFont="1" applyBorder="1"/>
    <xf numFmtId="0" fontId="10" fillId="3" borderId="2" xfId="0" applyFont="1" applyFill="1" applyBorder="1"/>
    <xf numFmtId="0" fontId="10" fillId="3" borderId="0" xfId="0" applyFont="1" applyFill="1" applyBorder="1"/>
    <xf numFmtId="169" fontId="9" fillId="3" borderId="0" xfId="0" applyNumberFormat="1" applyFont="1" applyFill="1" applyBorder="1"/>
    <xf numFmtId="170" fontId="18" fillId="4" borderId="11" xfId="0" applyNumberFormat="1" applyFont="1" applyFill="1" applyBorder="1"/>
    <xf numFmtId="0" fontId="5" fillId="4" borderId="2" xfId="0" applyFont="1" applyFill="1" applyBorder="1"/>
    <xf numFmtId="0" fontId="22" fillId="4" borderId="0" xfId="0" applyFont="1" applyFill="1" applyBorder="1"/>
    <xf numFmtId="170" fontId="23" fillId="4" borderId="5" xfId="0" applyNumberFormat="1" applyFont="1" applyFill="1" applyBorder="1"/>
    <xf numFmtId="170" fontId="23" fillId="4" borderId="2" xfId="0" applyNumberFormat="1" applyFont="1" applyFill="1" applyBorder="1"/>
    <xf numFmtId="170" fontId="23" fillId="4" borderId="0" xfId="0" applyNumberFormat="1" applyFont="1" applyFill="1" applyBorder="1"/>
    <xf numFmtId="170" fontId="23" fillId="4" borderId="3" xfId="0" applyNumberFormat="1" applyFont="1" applyFill="1" applyBorder="1"/>
    <xf numFmtId="0" fontId="5" fillId="7" borderId="7" xfId="0" applyFont="1" applyFill="1" applyBorder="1"/>
    <xf numFmtId="0" fontId="5" fillId="7" borderId="1" xfId="0" applyFont="1" applyFill="1" applyBorder="1"/>
    <xf numFmtId="170" fontId="18" fillId="7" borderId="10" xfId="0" applyNumberFormat="1" applyFont="1" applyFill="1" applyBorder="1"/>
    <xf numFmtId="170" fontId="18" fillId="7" borderId="7" xfId="0" applyNumberFormat="1" applyFont="1" applyFill="1" applyBorder="1"/>
    <xf numFmtId="170" fontId="18" fillId="7" borderId="1" xfId="0" applyNumberFormat="1" applyFont="1" applyFill="1" applyBorder="1"/>
    <xf numFmtId="170" fontId="18" fillId="7" borderId="9" xfId="0" applyNumberFormat="1" applyFont="1" applyFill="1" applyBorder="1"/>
    <xf numFmtId="0" fontId="2" fillId="4" borderId="11" xfId="0" applyFont="1" applyFill="1" applyBorder="1"/>
    <xf numFmtId="167" fontId="2" fillId="4" borderId="6" xfId="0" applyNumberFormat="1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167" fontId="21" fillId="3" borderId="3" xfId="0" applyNumberFormat="1" applyFont="1" applyFill="1" applyBorder="1" applyAlignment="1">
      <alignment horizontal="right"/>
    </xf>
    <xf numFmtId="0" fontId="0" fillId="2" borderId="5" xfId="0" applyFill="1" applyBorder="1"/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0" fillId="0" borderId="5" xfId="0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173" fontId="2" fillId="3" borderId="0" xfId="0" applyNumberFormat="1" applyFont="1" applyFill="1" applyAlignment="1">
      <alignment horizontal="right"/>
    </xf>
    <xf numFmtId="173" fontId="2" fillId="4" borderId="0" xfId="0" applyNumberFormat="1" applyFont="1" applyFill="1" applyAlignment="1">
      <alignment horizontal="right"/>
    </xf>
    <xf numFmtId="173" fontId="5" fillId="3" borderId="0" xfId="0" applyNumberFormat="1" applyFont="1" applyFill="1"/>
    <xf numFmtId="173" fontId="5" fillId="3" borderId="0" xfId="0" applyNumberFormat="1" applyFont="1" applyFill="1" applyAlignment="1">
      <alignment horizontal="right"/>
    </xf>
    <xf numFmtId="172" fontId="2" fillId="3" borderId="0" xfId="0" applyNumberFormat="1" applyFont="1" applyFill="1" applyAlignment="1">
      <alignment horizontal="right"/>
    </xf>
    <xf numFmtId="172" fontId="2" fillId="4" borderId="0" xfId="0" applyNumberFormat="1" applyFont="1" applyFill="1" applyAlignment="1">
      <alignment horizontal="right"/>
    </xf>
    <xf numFmtId="172" fontId="5" fillId="3" borderId="0" xfId="0" applyNumberFormat="1" applyFont="1" applyFill="1" applyAlignment="1">
      <alignment horizontal="right"/>
    </xf>
    <xf numFmtId="172" fontId="2" fillId="6" borderId="0" xfId="0" applyNumberFormat="1" applyFont="1" applyFill="1" applyAlignment="1">
      <alignment horizontal="right"/>
    </xf>
    <xf numFmtId="172" fontId="5" fillId="6" borderId="0" xfId="0" applyNumberFormat="1" applyFont="1" applyFill="1" applyAlignment="1">
      <alignment horizontal="right"/>
    </xf>
    <xf numFmtId="173" fontId="2" fillId="3" borderId="0" xfId="0" applyNumberFormat="1" applyFont="1" applyFill="1"/>
    <xf numFmtId="173" fontId="5" fillId="4" borderId="0" xfId="0" applyNumberFormat="1" applyFont="1" applyFill="1"/>
    <xf numFmtId="173" fontId="2" fillId="4" borderId="0" xfId="0" applyNumberFormat="1" applyFont="1" applyFill="1"/>
    <xf numFmtId="173" fontId="5" fillId="0" borderId="0" xfId="0" applyNumberFormat="1" applyFont="1"/>
    <xf numFmtId="173" fontId="5" fillId="5" borderId="0" xfId="0" applyNumberFormat="1" applyFont="1" applyFill="1"/>
    <xf numFmtId="173" fontId="2" fillId="3" borderId="0" xfId="0" applyNumberFormat="1" applyFont="1" applyFill="1" applyAlignment="1">
      <alignment vertical="top"/>
    </xf>
    <xf numFmtId="173" fontId="2" fillId="6" borderId="0" xfId="0" applyNumberFormat="1" applyFont="1" applyFill="1" applyAlignment="1">
      <alignment horizontal="right"/>
    </xf>
    <xf numFmtId="173" fontId="2" fillId="0" borderId="0" xfId="0" applyNumberFormat="1" applyFont="1"/>
    <xf numFmtId="171" fontId="2" fillId="0" borderId="0" xfId="0" applyNumberFormat="1" applyFont="1"/>
    <xf numFmtId="1" fontId="5" fillId="5" borderId="0" xfId="0" applyNumberFormat="1" applyFont="1" applyFill="1"/>
    <xf numFmtId="169" fontId="8" fillId="0" borderId="0" xfId="0" applyNumberFormat="1" applyFont="1"/>
    <xf numFmtId="0" fontId="8" fillId="0" borderId="0" xfId="0" applyFont="1"/>
    <xf numFmtId="167" fontId="2" fillId="3" borderId="0" xfId="0" applyNumberFormat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7" fontId="2" fillId="6" borderId="0" xfId="0" applyNumberFormat="1" applyFont="1" applyFill="1" applyAlignment="1">
      <alignment horizontal="right"/>
    </xf>
    <xf numFmtId="9" fontId="2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170" fontId="9" fillId="3" borderId="0" xfId="0" applyNumberFormat="1" applyFont="1" applyFill="1"/>
    <xf numFmtId="170" fontId="23" fillId="4" borderId="0" xfId="0" applyNumberFormat="1" applyFont="1" applyFill="1"/>
    <xf numFmtId="0" fontId="26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7" fontId="19" fillId="4" borderId="4" xfId="0" applyNumberFormat="1" applyFont="1" applyFill="1" applyBorder="1" applyAlignment="1">
      <alignment horizontal="right" vertical="center"/>
    </xf>
    <xf numFmtId="167" fontId="19" fillId="4" borderId="0" xfId="0" applyNumberFormat="1" applyFont="1" applyFill="1" applyBorder="1" applyAlignment="1">
      <alignment horizontal="right" vertical="center"/>
    </xf>
    <xf numFmtId="167" fontId="19" fillId="4" borderId="1" xfId="0" applyNumberFormat="1" applyFont="1" applyFill="1" applyBorder="1" applyAlignment="1">
      <alignment horizontal="right" vertical="center"/>
    </xf>
    <xf numFmtId="0" fontId="2" fillId="3" borderId="11" xfId="0" applyFont="1" applyFill="1" applyBorder="1"/>
    <xf numFmtId="0" fontId="13" fillId="3" borderId="10" xfId="0" applyFont="1" applyFill="1" applyBorder="1" applyAlignment="1">
      <alignment horizontal="center"/>
    </xf>
    <xf numFmtId="173" fontId="5" fillId="4" borderId="11" xfId="0" applyNumberFormat="1" applyFont="1" applyFill="1" applyBorder="1"/>
    <xf numFmtId="173" fontId="5" fillId="4" borderId="5" xfId="0" applyNumberFormat="1" applyFont="1" applyFill="1" applyBorder="1"/>
    <xf numFmtId="173" fontId="2" fillId="4" borderId="5" xfId="0" applyNumberFormat="1" applyFont="1" applyFill="1" applyBorder="1"/>
    <xf numFmtId="173" fontId="5" fillId="4" borderId="10" xfId="0" applyNumberFormat="1" applyFont="1" applyFill="1" applyBorder="1"/>
    <xf numFmtId="173" fontId="2" fillId="4" borderId="11" xfId="0" applyNumberFormat="1" applyFont="1" applyFill="1" applyBorder="1"/>
    <xf numFmtId="3" fontId="2" fillId="3" borderId="31" xfId="0" applyNumberFormat="1" applyFont="1" applyFill="1" applyBorder="1"/>
    <xf numFmtId="3" fontId="2" fillId="3" borderId="32" xfId="0" applyNumberFormat="1" applyFont="1" applyFill="1" applyBorder="1"/>
    <xf numFmtId="175" fontId="2" fillId="3" borderId="32" xfId="0" applyNumberFormat="1" applyFont="1" applyFill="1" applyBorder="1"/>
    <xf numFmtId="3" fontId="2" fillId="0" borderId="33" xfId="0" applyNumberFormat="1" applyFont="1" applyFill="1" applyBorder="1"/>
    <xf numFmtId="175" fontId="2" fillId="0" borderId="33" xfId="0" applyNumberFormat="1" applyFont="1" applyFill="1" applyBorder="1"/>
    <xf numFmtId="167" fontId="17" fillId="4" borderId="8" xfId="1" applyNumberFormat="1" applyFont="1" applyFill="1" applyBorder="1" applyAlignment="1">
      <alignment horizontal="right"/>
    </xf>
    <xf numFmtId="167" fontId="17" fillId="4" borderId="3" xfId="1" applyNumberFormat="1" applyFont="1" applyFill="1" applyBorder="1" applyAlignment="1">
      <alignment horizontal="right"/>
    </xf>
    <xf numFmtId="164" fontId="5" fillId="0" borderId="0" xfId="6" applyFont="1" applyBorder="1"/>
    <xf numFmtId="164" fontId="27" fillId="0" borderId="0" xfId="6" applyFont="1" applyBorder="1"/>
    <xf numFmtId="167" fontId="15" fillId="2" borderId="0" xfId="1" applyNumberFormat="1" applyFont="1" applyFill="1"/>
    <xf numFmtId="167" fontId="3" fillId="0" borderId="0" xfId="1" applyNumberFormat="1" applyFont="1"/>
    <xf numFmtId="10" fontId="3" fillId="0" borderId="0" xfId="0" applyNumberFormat="1" applyFont="1"/>
    <xf numFmtId="10" fontId="15" fillId="2" borderId="0" xfId="1" applyNumberFormat="1" applyFont="1" applyFill="1"/>
    <xf numFmtId="169" fontId="2" fillId="0" borderId="0" xfId="0" applyNumberFormat="1" applyFont="1" applyFill="1" applyBorder="1" applyAlignment="1">
      <alignment horizontal="right" wrapText="1"/>
    </xf>
    <xf numFmtId="173" fontId="5" fillId="0" borderId="0" xfId="0" applyNumberFormat="1" applyFont="1" applyFill="1"/>
    <xf numFmtId="0" fontId="17" fillId="0" borderId="5" xfId="0" applyFont="1" applyBorder="1" applyAlignment="1">
      <alignment horizontal="right"/>
    </xf>
    <xf numFmtId="10" fontId="0" fillId="0" borderId="0" xfId="0" applyNumberFormat="1"/>
    <xf numFmtId="10" fontId="0" fillId="0" borderId="0" xfId="0" applyNumberFormat="1" applyBorder="1"/>
    <xf numFmtId="0" fontId="5" fillId="3" borderId="0" xfId="0" applyFont="1" applyFill="1" applyAlignment="1">
      <alignment horizontal="center"/>
    </xf>
    <xf numFmtId="1" fontId="18" fillId="3" borderId="6" xfId="0" applyNumberFormat="1" applyFont="1" applyFill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</cellXfs>
  <cellStyles count="7">
    <cellStyle name="Обычный" xfId="0" builtinId="0"/>
    <cellStyle name="Обычный 2" xfId="2" xr:uid="{98B37677-6A69-404B-98F7-EF1E5F27FED3}"/>
    <cellStyle name="Обычный 3" xfId="3" xr:uid="{010D95CE-E504-48FB-9DCC-EF76ADDB5540}"/>
    <cellStyle name="Процентный" xfId="1" builtinId="5"/>
    <cellStyle name="Процентный 2" xfId="4" xr:uid="{B5905510-D037-42E2-B9B7-29885AA93375}"/>
    <cellStyle name="Финансовый" xfId="6" builtinId="3"/>
    <cellStyle name="Финансовый 2" xfId="5" xr:uid="{EA4717B5-DD90-4D62-AB02-548C603EBD76}"/>
  </cellStyles>
  <dxfs count="0"/>
  <tableStyles count="0" defaultTableStyle="TableStyleMedium2" defaultPivotStyle="PivotStyleLight16"/>
  <colors>
    <mruColors>
      <color rgb="FFE5E7FF"/>
      <color rgb="FFD6D8FF"/>
      <color rgb="FFF5F5F5"/>
      <color rgb="FFF2F2F2"/>
      <color rgb="FFEFF0FF"/>
      <color rgb="FF421C5E"/>
      <color rgb="FFAA72D4"/>
      <color rgb="FFFDEFE7"/>
      <color rgb="FFEAEAEA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57144</xdr:colOff>
      <xdr:row>0</xdr:row>
      <xdr:rowOff>90715</xdr:rowOff>
    </xdr:from>
    <xdr:to>
      <xdr:col>1</xdr:col>
      <xdr:colOff>1362771</xdr:colOff>
      <xdr:row>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C2FB6C-AF1D-2444-A496-5AE89D1E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4" y="90715"/>
          <a:ext cx="1436363" cy="2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1</xdr:col>
      <xdr:colOff>1380734</xdr:colOff>
      <xdr:row>1</xdr:row>
      <xdr:rowOff>147410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E1DC8C-AE0E-4400-89D3-1096E86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11125"/>
          <a:ext cx="1419020" cy="24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148167</xdr:rowOff>
    </xdr:from>
    <xdr:to>
      <xdr:col>1</xdr:col>
      <xdr:colOff>1239249</xdr:colOff>
      <xdr:row>1</xdr:row>
      <xdr:rowOff>172356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8F223-3E9D-E948-AF70-A5891816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148167"/>
          <a:ext cx="1436363" cy="235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108857</xdr:rowOff>
    </xdr:from>
    <xdr:to>
      <xdr:col>1</xdr:col>
      <xdr:colOff>1259470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C666-1542-BB40-AC70-9A744389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" y="108857"/>
          <a:ext cx="1436363" cy="235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127000</xdr:rowOff>
    </xdr:from>
    <xdr:to>
      <xdr:col>1</xdr:col>
      <xdr:colOff>1469392</xdr:colOff>
      <xdr:row>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B3DF8-9807-114C-80E9-EBED37F0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127000"/>
          <a:ext cx="1686351" cy="269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3/4Q/Final/Notes/Notes_2023_12m%20(&#1076;&#1083;&#1103;%20&#1074;&#1085;&#1077;&#1096;&#1085;&#1080;&#1093;%20&#1087;&#1086;&#1083;&#1100;&#1079;&#1086;&#1074;&#1072;&#1090;&#1077;&#1083;&#1077;&#1081;)_&#1089;&#1086;&#1082;&#1088;&#1072;&#1097;&#1077;&#1085;&#1085;&#1072;&#1103;%20&#8212;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9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6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2/4Q/Final/Notes/Notes_2022_12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PL"/>
      <sheetName val="OCI"/>
      <sheetName val="BS"/>
      <sheetName val="Лист1"/>
      <sheetName val="EQ"/>
      <sheetName val="Tax"/>
      <sheetName val="EPS"/>
      <sheetName val="Cash"/>
      <sheetName val="Loans1"/>
      <sheetName val="Loans2"/>
      <sheetName val="Loans_IND"/>
      <sheetName val="Loans_LE"/>
      <sheetName val="Loans_ECL"/>
      <sheetName val="PPE"/>
      <sheetName val="IP"/>
      <sheetName val="Other assets"/>
      <sheetName val="Financial liabilities"/>
      <sheetName val="Cutomer accounts"/>
      <sheetName val="Issued debt"/>
      <sheetName val="Other liabilities"/>
      <sheetName val="REPO"/>
      <sheetName val="Segments"/>
    </sheetNames>
    <sheetDataSet>
      <sheetData sheetId="0">
        <row r="13">
          <cell r="F13" t="str">
            <v>31 декабря 2023 года</v>
          </cell>
        </row>
        <row r="14">
          <cell r="E14" t="str">
            <v>31 декабря 
2022 года</v>
          </cell>
          <cell r="F14" t="str">
            <v>31 декабря 2022 года</v>
          </cell>
        </row>
        <row r="16">
          <cell r="F16" t="str">
            <v>31 декабря 2021 года</v>
          </cell>
        </row>
        <row r="17">
          <cell r="E17" t="str">
            <v>2023 год</v>
          </cell>
        </row>
        <row r="18">
          <cell r="E18" t="str">
            <v>2022 год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E11">
            <v>415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РСБУ vs МСФО"/>
      <sheetName val="Оглавление"/>
      <sheetName val="Sign"/>
      <sheetName val="PL"/>
      <sheetName val="OCI"/>
      <sheetName val="BS"/>
      <sheetName val="EQ"/>
      <sheetName val="GC"/>
      <sheetName val="CF"/>
      <sheetName val="29_3(old)"/>
      <sheetName val="1_1"/>
      <sheetName val="1_2.1"/>
      <sheetName val="1_2.2"/>
      <sheetName val="3_1"/>
      <sheetName val="3_5"/>
      <sheetName val="3_6"/>
      <sheetName val="4"/>
      <sheetName val="5_1"/>
      <sheetName val="5_2"/>
      <sheetName val="6_1"/>
      <sheetName val="6_2"/>
      <sheetName val="7"/>
      <sheetName val="8"/>
      <sheetName val="9"/>
      <sheetName val="10"/>
      <sheetName val="11"/>
      <sheetName val="disc"/>
      <sheetName val="12"/>
      <sheetName val="13"/>
      <sheetName val="14_1"/>
      <sheetName val="14_2"/>
      <sheetName val="14_2_2"/>
      <sheetName val="14_3"/>
      <sheetName val="15_1"/>
      <sheetName val="15_2"/>
      <sheetName val="15_3"/>
      <sheetName val="15_4"/>
      <sheetName val="15_5"/>
      <sheetName val="16_1"/>
      <sheetName val="16_2_1"/>
      <sheetName val="16_2_2"/>
      <sheetName val="16_3_1"/>
      <sheetName val="16_3_1_1"/>
      <sheetName val="16_3_1_2"/>
      <sheetName val="16_3_1_3"/>
      <sheetName val="16_3_2"/>
      <sheetName val="16_2_3"/>
      <sheetName val="16_2_4"/>
      <sheetName val="16_2_5"/>
      <sheetName val="16_3_3"/>
      <sheetName val="16_3_5"/>
      <sheetName val="17_1"/>
      <sheetName val="17_2"/>
      <sheetName val="18"/>
      <sheetName val="19"/>
      <sheetName val="20_1"/>
      <sheetName val="20"/>
      <sheetName val="IP"/>
      <sheetName val="21"/>
      <sheetName val="22"/>
      <sheetName val="23"/>
      <sheetName val="24"/>
      <sheetName val="25"/>
      <sheetName val="27"/>
      <sheetName val="cf_recons"/>
      <sheetName val="lease"/>
      <sheetName val="26"/>
      <sheetName val="28"/>
      <sheetName val="29_1"/>
      <sheetName val="29_2"/>
      <sheetName val="29_3"/>
      <sheetName val="29_4"/>
      <sheetName val="30_1"/>
      <sheetName val="30_2"/>
      <sheetName val="30_3"/>
      <sheetName val="31_1"/>
      <sheetName val="31_2"/>
      <sheetName val="31_2(q)"/>
      <sheetName val="31_3"/>
      <sheetName val="32_1"/>
      <sheetName val="32_2"/>
      <sheetName val="34_0"/>
      <sheetName val="34_2"/>
      <sheetName val="34_3"/>
      <sheetName val="33"/>
      <sheetName val="34_1"/>
      <sheetName val="34_4"/>
      <sheetName val="34_5_1"/>
      <sheetName val="34_6"/>
      <sheetName val="34_7"/>
      <sheetName val="34_5_2"/>
      <sheetName val="34_5_3"/>
      <sheetName val="34_8"/>
      <sheetName val="35"/>
      <sheetName val="16_3_4"/>
      <sheetName val="Лист1"/>
    </sheetNames>
    <sheetDataSet>
      <sheetData sheetId="0">
        <row r="13">
          <cell r="E13" t="str">
            <v>31 декабря 
2022 года</v>
          </cell>
        </row>
        <row r="16">
          <cell r="F16" t="str">
            <v>31 декабря 2020 года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F1" t="str">
            <v>Отчет о прибылях и убытках</v>
          </cell>
        </row>
      </sheetData>
      <sheetData sheetId="7">
        <row r="14">
          <cell r="H14">
            <v>42892</v>
          </cell>
        </row>
      </sheetData>
      <sheetData sheetId="8">
        <row r="1">
          <cell r="F1" t="str">
            <v>Баланс</v>
          </cell>
        </row>
      </sheetData>
      <sheetData sheetId="9">
        <row r="31">
          <cell r="P31">
            <v>0</v>
          </cell>
        </row>
      </sheetData>
      <sheetData sheetId="10"/>
      <sheetData sheetId="11">
        <row r="1">
          <cell r="F1" t="str">
            <v>Отчет о движении денежных средств</v>
          </cell>
        </row>
      </sheetData>
      <sheetData sheetId="12"/>
      <sheetData sheetId="13">
        <row r="66">
          <cell r="R66">
            <v>30029063</v>
          </cell>
        </row>
      </sheetData>
      <sheetData sheetId="14"/>
      <sheetData sheetId="15"/>
      <sheetData sheetId="16">
        <row r="10">
          <cell r="G10">
            <v>9.8949203491210938</v>
          </cell>
        </row>
      </sheetData>
      <sheetData sheetId="17"/>
      <sheetData sheetId="18"/>
      <sheetData sheetId="19">
        <row r="1">
          <cell r="F1" t="str">
            <v>Чистый процентный доход</v>
          </cell>
        </row>
      </sheetData>
      <sheetData sheetId="20">
        <row r="9">
          <cell r="H9">
            <v>9263274</v>
          </cell>
        </row>
      </sheetData>
      <sheetData sheetId="21">
        <row r="23">
          <cell r="G23">
            <v>520938</v>
          </cell>
        </row>
      </sheetData>
      <sheetData sheetId="22">
        <row r="9">
          <cell r="G9">
            <v>513</v>
          </cell>
        </row>
      </sheetData>
      <sheetData sheetId="23"/>
      <sheetData sheetId="24">
        <row r="9">
          <cell r="G9">
            <v>3289867</v>
          </cell>
        </row>
      </sheetData>
      <sheetData sheetId="25"/>
      <sheetData sheetId="26">
        <row r="1">
          <cell r="F1" t="str">
            <v>Прочие доходы/(расходы)</v>
          </cell>
        </row>
      </sheetData>
      <sheetData sheetId="27">
        <row r="1">
          <cell r="F1" t="str">
            <v>OPEX</v>
          </cell>
        </row>
      </sheetData>
      <sheetData sheetId="28">
        <row r="8">
          <cell r="G8">
            <v>2043139</v>
          </cell>
        </row>
      </sheetData>
      <sheetData sheetId="29"/>
      <sheetData sheetId="30">
        <row r="10">
          <cell r="G10">
            <v>0</v>
          </cell>
        </row>
      </sheetData>
      <sheetData sheetId="31">
        <row r="7">
          <cell r="G7">
            <v>4259287</v>
          </cell>
        </row>
      </sheetData>
      <sheetData sheetId="32">
        <row r="11">
          <cell r="G11">
            <v>1132402</v>
          </cell>
        </row>
      </sheetData>
      <sheetData sheetId="33">
        <row r="12">
          <cell r="G12">
            <v>4986.1916642023753</v>
          </cell>
        </row>
      </sheetData>
      <sheetData sheetId="34">
        <row r="10">
          <cell r="G10">
            <v>8891184.0278299991</v>
          </cell>
        </row>
      </sheetData>
      <sheetData sheetId="35">
        <row r="9">
          <cell r="F9" t="str">
            <v>BBB</v>
          </cell>
        </row>
      </sheetData>
      <sheetData sheetId="36">
        <row r="8">
          <cell r="G8">
            <v>0</v>
          </cell>
        </row>
      </sheetData>
      <sheetData sheetId="37">
        <row r="8">
          <cell r="G8">
            <v>0</v>
          </cell>
        </row>
      </sheetData>
      <sheetData sheetId="38">
        <row r="17">
          <cell r="G17">
            <v>12318</v>
          </cell>
        </row>
      </sheetData>
      <sheetData sheetId="39">
        <row r="9">
          <cell r="G9">
            <v>9200298</v>
          </cell>
        </row>
      </sheetData>
      <sheetData sheetId="40">
        <row r="13">
          <cell r="G13">
            <v>8045449</v>
          </cell>
        </row>
      </sheetData>
      <sheetData sheetId="41">
        <row r="8">
          <cell r="G8">
            <v>278865906</v>
          </cell>
        </row>
      </sheetData>
      <sheetData sheetId="42">
        <row r="13">
          <cell r="G13">
            <v>201847459</v>
          </cell>
        </row>
      </sheetData>
      <sheetData sheetId="43">
        <row r="13">
          <cell r="G13">
            <v>758973</v>
          </cell>
        </row>
      </sheetData>
      <sheetData sheetId="44">
        <row r="12">
          <cell r="G12">
            <v>6272975</v>
          </cell>
        </row>
      </sheetData>
      <sheetData sheetId="45">
        <row r="13">
          <cell r="K13">
            <v>13124916</v>
          </cell>
        </row>
      </sheetData>
      <sheetData sheetId="46">
        <row r="13">
          <cell r="G13">
            <v>1426635</v>
          </cell>
        </row>
      </sheetData>
      <sheetData sheetId="47">
        <row r="13">
          <cell r="G13">
            <v>39092</v>
          </cell>
        </row>
      </sheetData>
      <sheetData sheetId="48">
        <row r="13">
          <cell r="G13">
            <v>816279</v>
          </cell>
        </row>
      </sheetData>
      <sheetData sheetId="49"/>
      <sheetData sheetId="50"/>
      <sheetData sheetId="51"/>
      <sheetData sheetId="52"/>
      <sheetData sheetId="53"/>
      <sheetData sheetId="54">
        <row r="54">
          <cell r="T54">
            <v>-84674</v>
          </cell>
        </row>
      </sheetData>
      <sheetData sheetId="55"/>
      <sheetData sheetId="56">
        <row r="22">
          <cell r="G22">
            <v>2098108</v>
          </cell>
        </row>
      </sheetData>
      <sheetData sheetId="57">
        <row r="7">
          <cell r="G7">
            <v>1374049</v>
          </cell>
        </row>
      </sheetData>
      <sheetData sheetId="58"/>
      <sheetData sheetId="59">
        <row r="1">
          <cell r="F1" t="str">
            <v>Прочие активы</v>
          </cell>
        </row>
      </sheetData>
      <sheetData sheetId="60">
        <row r="6">
          <cell r="G6">
            <v>1152723.3499980001</v>
          </cell>
        </row>
      </sheetData>
      <sheetData sheetId="61"/>
      <sheetData sheetId="62"/>
      <sheetData sheetId="63">
        <row r="8">
          <cell r="G8">
            <v>4699506</v>
          </cell>
        </row>
      </sheetData>
      <sheetData sheetId="64">
        <row r="1">
          <cell r="F1" t="str">
            <v>Средства клиентов</v>
          </cell>
        </row>
      </sheetData>
      <sheetData sheetId="65"/>
      <sheetData sheetId="66"/>
      <sheetData sheetId="67"/>
      <sheetData sheetId="68">
        <row r="9">
          <cell r="G9">
            <v>766944</v>
          </cell>
        </row>
      </sheetData>
      <sheetData sheetId="69">
        <row r="1">
          <cell r="F1" t="str">
            <v>Прочие обязательства</v>
          </cell>
        </row>
      </sheetData>
      <sheetData sheetId="70">
        <row r="13">
          <cell r="G13">
            <v>600</v>
          </cell>
        </row>
      </sheetData>
      <sheetData sheetId="71">
        <row r="9">
          <cell r="G9">
            <v>4001297</v>
          </cell>
        </row>
      </sheetData>
      <sheetData sheetId="72">
        <row r="9">
          <cell r="G9">
            <v>67838210.621802911</v>
          </cell>
        </row>
      </sheetData>
      <sheetData sheetId="73">
        <row r="21">
          <cell r="K21">
            <v>752447.13788587973</v>
          </cell>
        </row>
      </sheetData>
      <sheetData sheetId="74">
        <row r="11">
          <cell r="G11">
            <v>66467043</v>
          </cell>
        </row>
      </sheetData>
      <sheetData sheetId="75"/>
      <sheetData sheetId="76">
        <row r="11">
          <cell r="G11">
            <v>6521</v>
          </cell>
        </row>
      </sheetData>
      <sheetData sheetId="77">
        <row r="12">
          <cell r="G12">
            <v>859433</v>
          </cell>
        </row>
      </sheetData>
      <sheetData sheetId="78">
        <row r="7">
          <cell r="G7">
            <v>34285815</v>
          </cell>
        </row>
      </sheetData>
      <sheetData sheetId="79"/>
      <sheetData sheetId="80"/>
      <sheetData sheetId="81"/>
      <sheetData sheetId="82">
        <row r="9">
          <cell r="G9">
            <v>697442</v>
          </cell>
        </row>
      </sheetData>
      <sheetData sheetId="83">
        <row r="11">
          <cell r="K11" t="str">
            <v>Значения котировок/ расчетных цен</v>
          </cell>
        </row>
      </sheetData>
      <sheetData sheetId="84"/>
      <sheetData sheetId="85"/>
      <sheetData sheetId="86"/>
      <sheetData sheetId="87">
        <row r="58">
          <cell r="G58">
            <v>2022</v>
          </cell>
        </row>
      </sheetData>
      <sheetData sheetId="88">
        <row r="8">
          <cell r="G8">
            <v>3898318</v>
          </cell>
        </row>
      </sheetData>
      <sheetData sheetId="89">
        <row r="9">
          <cell r="G9">
            <v>7455299</v>
          </cell>
        </row>
      </sheetData>
      <sheetData sheetId="90">
        <row r="11">
          <cell r="G11">
            <v>1082960</v>
          </cell>
        </row>
      </sheetData>
      <sheetData sheetId="91">
        <row r="53">
          <cell r="G53">
            <v>-118510</v>
          </cell>
        </row>
      </sheetData>
      <sheetData sheetId="92">
        <row r="10">
          <cell r="G10">
            <v>6915538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907B-A4C0-5B45-9857-9ABEB629B8F9}">
  <sheetPr>
    <tabColor theme="9" tint="0.59999389629810485"/>
    <outlinePr summaryBelow="0"/>
  </sheetPr>
  <dimension ref="A1:V100"/>
  <sheetViews>
    <sheetView showGridLines="0" zoomScale="70" zoomScaleNormal="70" workbookViewId="0">
      <pane xSplit="3" ySplit="3" topLeftCell="D67" activePane="bottomRight" state="frozen"/>
      <selection activeCell="L1" sqref="L1:O1048576"/>
      <selection pane="topRight" activeCell="L1" sqref="L1:O1048576"/>
      <selection pane="bottomLeft" activeCell="L1" sqref="L1:O1048576"/>
      <selection pane="bottomRight" activeCell="P77" sqref="P77"/>
    </sheetView>
  </sheetViews>
  <sheetFormatPr defaultColWidth="11" defaultRowHeight="15.75" outlineLevelRow="1" x14ac:dyDescent="0.25"/>
  <cols>
    <col min="1" max="1" width="1.5" style="144" customWidth="1"/>
    <col min="2" max="2" width="63.5" style="144" customWidth="1"/>
    <col min="3" max="3" width="3.625" style="144" customWidth="1"/>
    <col min="4" max="4" width="17.25" style="144" customWidth="1"/>
    <col min="5" max="5" width="17.875" style="144" customWidth="1"/>
    <col min="6" max="7" width="17.375" style="144" customWidth="1"/>
    <col min="8" max="8" width="16.375" style="144" customWidth="1"/>
    <col min="9" max="9" width="14.75" style="144" customWidth="1"/>
    <col min="10" max="10" width="15.25" style="144" customWidth="1"/>
    <col min="11" max="11" width="13.125" style="144" customWidth="1"/>
    <col min="12" max="14" width="13" style="144" bestFit="1" customWidth="1"/>
    <col min="15" max="16" width="13" style="144" customWidth="1"/>
  </cols>
  <sheetData>
    <row r="1" spans="1:18" ht="16.149999999999999" customHeight="1" x14ac:dyDescent="0.25">
      <c r="A1" s="41"/>
      <c r="B1" s="41"/>
      <c r="C1" s="114"/>
      <c r="D1" s="41"/>
      <c r="E1" s="129"/>
      <c r="F1" s="126"/>
      <c r="G1" s="126"/>
      <c r="H1" s="113"/>
      <c r="I1" s="113"/>
      <c r="J1" s="113"/>
      <c r="K1" s="113"/>
      <c r="L1" s="196"/>
      <c r="M1" s="197"/>
      <c r="N1" s="197"/>
      <c r="O1" s="198"/>
      <c r="P1" s="198"/>
    </row>
    <row r="2" spans="1:18" ht="18" customHeight="1" x14ac:dyDescent="0.25">
      <c r="A2" s="41"/>
      <c r="B2" s="41"/>
      <c r="C2" s="114"/>
      <c r="D2" s="120">
        <v>2020</v>
      </c>
      <c r="E2" s="127">
        <v>2021</v>
      </c>
      <c r="F2" s="127">
        <v>2022</v>
      </c>
      <c r="G2" s="127">
        <v>2023</v>
      </c>
      <c r="H2" s="600">
        <v>2024</v>
      </c>
      <c r="I2" s="600"/>
      <c r="J2" s="600"/>
      <c r="K2" s="600"/>
      <c r="L2" s="603">
        <v>2025</v>
      </c>
      <c r="M2" s="600"/>
      <c r="N2" s="600"/>
      <c r="O2" s="604"/>
      <c r="P2" s="127">
        <v>2026</v>
      </c>
    </row>
    <row r="3" spans="1:18" ht="15" customHeight="1" x14ac:dyDescent="0.25">
      <c r="A3" s="139" t="s">
        <v>131</v>
      </c>
      <c r="B3" s="123"/>
      <c r="C3" s="124"/>
      <c r="D3" s="121"/>
      <c r="E3" s="128"/>
      <c r="F3" s="128"/>
      <c r="G3" s="128"/>
      <c r="H3" s="122" t="s">
        <v>1</v>
      </c>
      <c r="I3" s="122" t="s">
        <v>93</v>
      </c>
      <c r="J3" s="122" t="s">
        <v>94</v>
      </c>
      <c r="K3" s="122" t="s">
        <v>95</v>
      </c>
      <c r="L3" s="199" t="s">
        <v>154</v>
      </c>
      <c r="M3" s="43" t="s">
        <v>93</v>
      </c>
      <c r="N3" s="43" t="s">
        <v>94</v>
      </c>
      <c r="O3" s="56" t="s">
        <v>95</v>
      </c>
      <c r="P3" s="56" t="s">
        <v>154</v>
      </c>
      <c r="Q3" s="2"/>
      <c r="R3" s="2"/>
    </row>
    <row r="4" spans="1:18" ht="18" customHeight="1" x14ac:dyDescent="0.2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8" ht="17.100000000000001" customHeight="1" x14ac:dyDescent="0.25">
      <c r="B5" s="85" t="s">
        <v>103</v>
      </c>
      <c r="C5" s="166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8" s="2" customFormat="1" x14ac:dyDescent="0.25">
      <c r="A6" s="144"/>
      <c r="B6" s="269" t="s">
        <v>2</v>
      </c>
      <c r="C6" s="270"/>
      <c r="D6" s="283">
        <v>37419.759000000005</v>
      </c>
      <c r="E6" s="283">
        <v>15975.276999999998</v>
      </c>
      <c r="F6" s="283">
        <v>58220.633999999998</v>
      </c>
      <c r="G6" s="284">
        <v>58867.38</v>
      </c>
      <c r="H6" s="285">
        <v>40712.025000000009</v>
      </c>
      <c r="I6" s="209">
        <v>25256.904000000002</v>
      </c>
      <c r="J6" s="285">
        <v>49090.768000000004</v>
      </c>
      <c r="K6" s="285">
        <v>93757.128000000012</v>
      </c>
      <c r="L6" s="208">
        <v>88038</v>
      </c>
      <c r="M6" s="209">
        <v>65573</v>
      </c>
      <c r="N6" s="209">
        <f>N7+N8+N9+N10+N11+N12</f>
        <v>104457</v>
      </c>
      <c r="O6" s="167">
        <f>O7+O8+O9+O10+O11+O12</f>
        <v>72138</v>
      </c>
      <c r="P6" s="167">
        <f>P7+P8+P9+P10+P11+P12</f>
        <v>125123</v>
      </c>
    </row>
    <row r="7" spans="1:18" outlineLevel="1" x14ac:dyDescent="0.25">
      <c r="B7" s="286" t="s">
        <v>30</v>
      </c>
      <c r="C7" s="287"/>
      <c r="D7" s="115">
        <v>13720.807000000001</v>
      </c>
      <c r="E7" s="115">
        <v>7140.1059999999998</v>
      </c>
      <c r="F7" s="115">
        <v>3898.3180000000002</v>
      </c>
      <c r="G7" s="115">
        <v>11717.739</v>
      </c>
      <c r="H7" s="201">
        <v>13421.894</v>
      </c>
      <c r="I7" s="201">
        <v>14056.831</v>
      </c>
      <c r="J7" s="201">
        <v>36867.692000000003</v>
      </c>
      <c r="K7" s="201">
        <v>16922.425999999999</v>
      </c>
      <c r="L7" s="205">
        <v>15427</v>
      </c>
      <c r="M7" s="540">
        <v>24325</v>
      </c>
      <c r="N7" s="540">
        <v>30242</v>
      </c>
      <c r="O7" s="168">
        <v>36960</v>
      </c>
      <c r="P7" s="168">
        <v>22568</v>
      </c>
    </row>
    <row r="8" spans="1:18" outlineLevel="1" x14ac:dyDescent="0.25">
      <c r="B8" s="286" t="s">
        <v>31</v>
      </c>
      <c r="C8" s="287"/>
      <c r="D8" s="115">
        <v>5970.4350000000004</v>
      </c>
      <c r="E8" s="115">
        <v>6263.9440000000004</v>
      </c>
      <c r="F8" s="115">
        <v>32261.769</v>
      </c>
      <c r="G8" s="115">
        <v>6944.8540000000003</v>
      </c>
      <c r="H8" s="201">
        <v>5500.1540000000005</v>
      </c>
      <c r="I8" s="201">
        <v>7604.9880000000003</v>
      </c>
      <c r="J8" s="201">
        <v>7238.9660000000003</v>
      </c>
      <c r="K8" s="201">
        <v>9214.1470000000008</v>
      </c>
      <c r="L8" s="205">
        <v>6390</v>
      </c>
      <c r="M8" s="540">
        <v>12829</v>
      </c>
      <c r="N8" s="540">
        <v>15152</v>
      </c>
      <c r="O8" s="168">
        <v>13006</v>
      </c>
      <c r="P8" s="168">
        <v>14447</v>
      </c>
    </row>
    <row r="9" spans="1:18" outlineLevel="1" x14ac:dyDescent="0.25">
      <c r="B9" s="288" t="s">
        <v>32</v>
      </c>
      <c r="C9" s="289"/>
      <c r="D9" s="115">
        <v>2583.2190000000001</v>
      </c>
      <c r="E9" s="115">
        <v>2581.3180000000002</v>
      </c>
      <c r="F9" s="115">
        <v>3196.0129999999999</v>
      </c>
      <c r="G9" s="115">
        <v>3638.3580000000002</v>
      </c>
      <c r="H9" s="201">
        <v>2901.2350000000001</v>
      </c>
      <c r="I9" s="201">
        <v>2329.9659999999999</v>
      </c>
      <c r="J9" s="201">
        <v>2548.7620000000002</v>
      </c>
      <c r="K9" s="201">
        <v>2577.317</v>
      </c>
      <c r="L9" s="205">
        <v>1734</v>
      </c>
      <c r="M9" s="540">
        <v>1680</v>
      </c>
      <c r="N9" s="540">
        <v>1948</v>
      </c>
      <c r="O9" s="168">
        <v>1735</v>
      </c>
      <c r="P9" s="168">
        <v>1619</v>
      </c>
    </row>
    <row r="10" spans="1:18" ht="17.100000000000001" customHeight="1" outlineLevel="1" x14ac:dyDescent="0.25">
      <c r="B10" s="290" t="s">
        <v>33</v>
      </c>
      <c r="C10" s="291"/>
      <c r="D10" s="115">
        <v>15106.96</v>
      </c>
      <c r="E10" s="115">
        <v>0</v>
      </c>
      <c r="F10" s="115">
        <v>0</v>
      </c>
      <c r="G10" s="115">
        <v>0</v>
      </c>
      <c r="H10" s="201">
        <v>3093.4720000000002</v>
      </c>
      <c r="I10" s="201">
        <v>1204.8579999999999</v>
      </c>
      <c r="J10" s="201">
        <v>2071.875</v>
      </c>
      <c r="K10" s="201">
        <v>59378.669000000002</v>
      </c>
      <c r="L10" s="205">
        <v>64344</v>
      </c>
      <c r="M10" s="540">
        <v>25213</v>
      </c>
      <c r="N10" s="540">
        <v>57185</v>
      </c>
      <c r="O10" s="168">
        <v>20230</v>
      </c>
      <c r="P10" s="168">
        <v>25762</v>
      </c>
    </row>
    <row r="11" spans="1:18" outlineLevel="1" x14ac:dyDescent="0.25">
      <c r="B11" s="290" t="s">
        <v>137</v>
      </c>
      <c r="C11" s="291"/>
      <c r="D11" s="115">
        <v>47.3</v>
      </c>
      <c r="E11" s="115">
        <v>19.576000000000001</v>
      </c>
      <c r="F11" s="115">
        <v>19007.862000000001</v>
      </c>
      <c r="G11" s="115">
        <v>36731.593999999997</v>
      </c>
      <c r="H11" s="201">
        <v>16001.146000000001</v>
      </c>
      <c r="I11" s="201">
        <v>157.58000000000001</v>
      </c>
      <c r="J11" s="201">
        <v>431.66500000000002</v>
      </c>
      <c r="K11" s="201">
        <v>5860.7579999999998</v>
      </c>
      <c r="L11" s="205">
        <v>227</v>
      </c>
      <c r="M11" s="540">
        <v>1605</v>
      </c>
      <c r="N11" s="540">
        <v>0</v>
      </c>
      <c r="O11" s="168">
        <v>330</v>
      </c>
      <c r="P11" s="168">
        <v>60821</v>
      </c>
    </row>
    <row r="12" spans="1:18" outlineLevel="1" x14ac:dyDescent="0.25">
      <c r="B12" s="292" t="s">
        <v>34</v>
      </c>
      <c r="C12" s="293"/>
      <c r="D12" s="115">
        <v>-8.9619999999999997</v>
      </c>
      <c r="E12" s="115">
        <v>-29.667000000000002</v>
      </c>
      <c r="F12" s="115">
        <v>-143.328</v>
      </c>
      <c r="G12" s="115">
        <v>-165.16499999999999</v>
      </c>
      <c r="H12" s="201">
        <v>-205.876</v>
      </c>
      <c r="I12" s="201">
        <v>-97.319000000000003</v>
      </c>
      <c r="J12" s="201">
        <v>-68.191999999999993</v>
      </c>
      <c r="K12" s="201">
        <v>-196.18899999999999</v>
      </c>
      <c r="L12" s="205">
        <v>-84</v>
      </c>
      <c r="M12" s="540">
        <v>-79</v>
      </c>
      <c r="N12" s="540">
        <v>-70</v>
      </c>
      <c r="O12" s="168">
        <v>-123</v>
      </c>
      <c r="P12" s="168">
        <v>-94</v>
      </c>
    </row>
    <row r="13" spans="1:18" s="2" customFormat="1" ht="18" customHeight="1" x14ac:dyDescent="0.25">
      <c r="A13" s="144"/>
      <c r="B13" s="294" t="s">
        <v>149</v>
      </c>
      <c r="C13" s="295"/>
      <c r="D13" s="116">
        <v>32045.072</v>
      </c>
      <c r="E13" s="125">
        <v>33655.83</v>
      </c>
      <c r="F13" s="125">
        <v>25896.337</v>
      </c>
      <c r="G13" s="125">
        <v>29809.861000000001</v>
      </c>
      <c r="H13" s="200">
        <v>37172.101999999999</v>
      </c>
      <c r="I13" s="200">
        <v>48441.040999999997</v>
      </c>
      <c r="J13" s="200">
        <v>66934.657999999996</v>
      </c>
      <c r="K13" s="200">
        <v>78786.038</v>
      </c>
      <c r="L13" s="204">
        <v>124722</v>
      </c>
      <c r="M13" s="541">
        <v>282748</v>
      </c>
      <c r="N13" s="541">
        <v>296217</v>
      </c>
      <c r="O13" s="169">
        <v>301471</v>
      </c>
      <c r="P13" s="169">
        <v>270928</v>
      </c>
    </row>
    <row r="14" spans="1:18" s="2" customFormat="1" x14ac:dyDescent="0.25">
      <c r="A14" s="144"/>
      <c r="B14" s="276" t="s">
        <v>3</v>
      </c>
      <c r="C14" s="247"/>
      <c r="D14" s="116">
        <v>129862.42200000001</v>
      </c>
      <c r="E14" s="116">
        <v>218361.81399999995</v>
      </c>
      <c r="F14" s="116">
        <v>241504.16300000003</v>
      </c>
      <c r="G14" s="125">
        <v>347739.935</v>
      </c>
      <c r="H14" s="200">
        <v>361718.51799999998</v>
      </c>
      <c r="I14" s="200">
        <v>369734.06599999999</v>
      </c>
      <c r="J14" s="227">
        <v>398293.69699999993</v>
      </c>
      <c r="K14" s="227">
        <v>385805.25099999999</v>
      </c>
      <c r="L14" s="204">
        <v>370830</v>
      </c>
      <c r="M14" s="541">
        <v>360572</v>
      </c>
      <c r="N14" s="541">
        <f t="shared" ref="N14:O14" si="0">N19+N24</f>
        <v>343554</v>
      </c>
      <c r="O14" s="169">
        <f t="shared" si="0"/>
        <v>338806</v>
      </c>
      <c r="P14" s="169">
        <f t="shared" ref="P14" si="1">P19+P24</f>
        <v>327840</v>
      </c>
    </row>
    <row r="15" spans="1:18" s="2" customFormat="1" outlineLevel="1" x14ac:dyDescent="0.25">
      <c r="A15" s="144"/>
      <c r="B15" s="296" t="s">
        <v>35</v>
      </c>
      <c r="C15" s="297"/>
      <c r="D15" s="115">
        <v>71926.77607998137</v>
      </c>
      <c r="E15" s="115">
        <v>139002.79999999999</v>
      </c>
      <c r="F15" s="115">
        <v>149720.136</v>
      </c>
      <c r="G15" s="115">
        <v>206706.97099999999</v>
      </c>
      <c r="H15" s="201">
        <v>218850.546</v>
      </c>
      <c r="I15" s="201">
        <v>230325.86300000001</v>
      </c>
      <c r="J15" s="201">
        <v>243668.45099999997</v>
      </c>
      <c r="K15" s="201">
        <v>223508.54800000001</v>
      </c>
      <c r="L15" s="205">
        <v>207244</v>
      </c>
      <c r="M15" s="540">
        <v>198026</v>
      </c>
      <c r="N15" s="540">
        <f>N20+N25</f>
        <v>185839</v>
      </c>
      <c r="O15" s="168">
        <f>O20+O25</f>
        <v>186504</v>
      </c>
      <c r="P15" s="168">
        <f>P20+P25</f>
        <v>173973</v>
      </c>
    </row>
    <row r="16" spans="1:18" s="2" customFormat="1" outlineLevel="1" x14ac:dyDescent="0.25">
      <c r="A16" s="144"/>
      <c r="B16" s="296" t="s">
        <v>36</v>
      </c>
      <c r="C16" s="297"/>
      <c r="D16" s="115">
        <v>17639.143071311839</v>
      </c>
      <c r="E16" s="115">
        <v>31578.259000000002</v>
      </c>
      <c r="F16" s="115">
        <v>49101.119000000006</v>
      </c>
      <c r="G16" s="115">
        <v>69176.884999999995</v>
      </c>
      <c r="H16" s="201">
        <v>71504.628999999986</v>
      </c>
      <c r="I16" s="201">
        <v>74150.347000000009</v>
      </c>
      <c r="J16" s="201">
        <v>81027.168999999994</v>
      </c>
      <c r="K16" s="201">
        <v>85103.84</v>
      </c>
      <c r="L16" s="205">
        <v>86085</v>
      </c>
      <c r="M16" s="540">
        <v>86703</v>
      </c>
      <c r="N16" s="540">
        <f t="shared" ref="N16:O18" si="2">N21+N26</f>
        <v>88249</v>
      </c>
      <c r="O16" s="168">
        <f t="shared" si="2"/>
        <v>89250</v>
      </c>
      <c r="P16" s="168">
        <f t="shared" ref="P16" si="3">P21+P26</f>
        <v>90256</v>
      </c>
    </row>
    <row r="17" spans="1:22" s="2" customFormat="1" outlineLevel="1" x14ac:dyDescent="0.25">
      <c r="A17" s="144"/>
      <c r="B17" s="296" t="s">
        <v>37</v>
      </c>
      <c r="C17" s="297"/>
      <c r="D17" s="115">
        <v>13751.628883710951</v>
      </c>
      <c r="E17" s="115">
        <v>16159.753999999999</v>
      </c>
      <c r="F17" s="115">
        <v>22423.973000000002</v>
      </c>
      <c r="G17" s="115">
        <v>24271.414000000001</v>
      </c>
      <c r="H17" s="201">
        <v>25537.894</v>
      </c>
      <c r="I17" s="201">
        <v>27713.543999999998</v>
      </c>
      <c r="J17" s="201">
        <v>28061.14</v>
      </c>
      <c r="K17" s="201">
        <v>27851.210999999999</v>
      </c>
      <c r="L17" s="205">
        <v>26834</v>
      </c>
      <c r="M17" s="540">
        <v>26279</v>
      </c>
      <c r="N17" s="540">
        <f t="shared" si="2"/>
        <v>25688</v>
      </c>
      <c r="O17" s="168">
        <f t="shared" si="2"/>
        <v>25208</v>
      </c>
      <c r="P17" s="168">
        <f t="shared" ref="P17" si="4">P22+P27</f>
        <v>24371</v>
      </c>
    </row>
    <row r="18" spans="1:22" s="2" customFormat="1" outlineLevel="1" x14ac:dyDescent="0.25">
      <c r="A18" s="144"/>
      <c r="B18" s="298" t="s">
        <v>135</v>
      </c>
      <c r="C18" s="246"/>
      <c r="D18" s="115">
        <v>26548.367345924533</v>
      </c>
      <c r="E18" s="115">
        <v>31621.001999999997</v>
      </c>
      <c r="F18" s="115">
        <v>20258.935000000001</v>
      </c>
      <c r="G18" s="115">
        <v>47584.665000000001</v>
      </c>
      <c r="H18" s="201">
        <v>45825.449000000001</v>
      </c>
      <c r="I18" s="201">
        <v>37544.311999999998</v>
      </c>
      <c r="J18" s="201">
        <v>45536.936999999998</v>
      </c>
      <c r="K18" s="201">
        <v>49341.652000000002</v>
      </c>
      <c r="L18" s="205">
        <v>50667</v>
      </c>
      <c r="M18" s="540">
        <v>49564</v>
      </c>
      <c r="N18" s="540">
        <f t="shared" si="2"/>
        <v>43778</v>
      </c>
      <c r="O18" s="168">
        <f t="shared" si="2"/>
        <v>37844</v>
      </c>
      <c r="P18" s="168">
        <f t="shared" ref="P18" si="5">P23+P28</f>
        <v>39240</v>
      </c>
    </row>
    <row r="19" spans="1:22" s="2" customFormat="1" outlineLevel="1" x14ac:dyDescent="0.25">
      <c r="A19" s="144"/>
      <c r="B19" s="299" t="s">
        <v>106</v>
      </c>
      <c r="C19" s="300"/>
      <c r="D19" s="117">
        <v>147894.22500000001</v>
      </c>
      <c r="E19" s="117">
        <v>240371.65499999997</v>
      </c>
      <c r="F19" s="117">
        <v>278865.90600000002</v>
      </c>
      <c r="G19" s="117">
        <v>389592.908</v>
      </c>
      <c r="H19" s="202">
        <v>408017.37400000001</v>
      </c>
      <c r="I19" s="202">
        <v>418610.087</v>
      </c>
      <c r="J19" s="202">
        <v>449786.72199999995</v>
      </c>
      <c r="K19" s="202">
        <v>434888.70199999999</v>
      </c>
      <c r="L19" s="206">
        <v>425422</v>
      </c>
      <c r="M19" s="542">
        <v>414286</v>
      </c>
      <c r="N19" s="542">
        <f t="shared" ref="N19:O19" si="6">N20+N21+N22+N23</f>
        <v>391642</v>
      </c>
      <c r="O19" s="170">
        <f t="shared" si="6"/>
        <v>382648</v>
      </c>
      <c r="P19" s="170">
        <f t="shared" ref="P19" si="7">P20+P21+P22+P23</f>
        <v>369645</v>
      </c>
    </row>
    <row r="20" spans="1:22" s="2" customFormat="1" outlineLevel="1" x14ac:dyDescent="0.25">
      <c r="A20" s="144"/>
      <c r="B20" s="301" t="s">
        <v>35</v>
      </c>
      <c r="C20" s="302"/>
      <c r="D20" s="115">
        <v>81346.165999999997</v>
      </c>
      <c r="E20" s="115">
        <v>152127.715</v>
      </c>
      <c r="F20" s="115">
        <v>173721.989</v>
      </c>
      <c r="G20" s="115">
        <v>232593.383</v>
      </c>
      <c r="H20" s="201">
        <v>247220.394</v>
      </c>
      <c r="I20" s="201">
        <v>259661.413</v>
      </c>
      <c r="J20" s="201">
        <v>275499.17099999997</v>
      </c>
      <c r="K20" s="201">
        <v>253004.70699999999</v>
      </c>
      <c r="L20" s="205">
        <v>240572</v>
      </c>
      <c r="M20" s="540">
        <v>231595</v>
      </c>
      <c r="N20" s="540">
        <v>216102</v>
      </c>
      <c r="O20" s="168">
        <v>211818</v>
      </c>
      <c r="P20" s="168">
        <v>198128</v>
      </c>
    </row>
    <row r="21" spans="1:22" s="2" customFormat="1" outlineLevel="1" x14ac:dyDescent="0.25">
      <c r="A21" s="144"/>
      <c r="B21" s="301" t="s">
        <v>36</v>
      </c>
      <c r="C21" s="302"/>
      <c r="D21" s="115">
        <v>21873.579000000002</v>
      </c>
      <c r="E21" s="115">
        <v>36932.58</v>
      </c>
      <c r="F21" s="115">
        <v>59314.641000000003</v>
      </c>
      <c r="G21" s="115">
        <v>82032.06</v>
      </c>
      <c r="H21" s="201">
        <v>86269.876999999993</v>
      </c>
      <c r="I21" s="201">
        <v>90494.679000000004</v>
      </c>
      <c r="J21" s="201">
        <v>97267.573999999993</v>
      </c>
      <c r="K21" s="201">
        <v>101249.213</v>
      </c>
      <c r="L21" s="205">
        <v>104259</v>
      </c>
      <c r="M21" s="540">
        <v>103715</v>
      </c>
      <c r="N21" s="540">
        <v>102900</v>
      </c>
      <c r="O21" s="168">
        <v>103084</v>
      </c>
      <c r="P21" s="168">
        <v>102857</v>
      </c>
      <c r="Q21" s="11"/>
      <c r="R21" s="11"/>
      <c r="S21" s="22"/>
      <c r="T21" s="22"/>
      <c r="U21" s="22"/>
      <c r="V21" s="22"/>
    </row>
    <row r="22" spans="1:22" s="2" customFormat="1" outlineLevel="1" x14ac:dyDescent="0.25">
      <c r="A22" s="144"/>
      <c r="B22" s="301" t="s">
        <v>37</v>
      </c>
      <c r="C22" s="302"/>
      <c r="D22" s="115">
        <v>14384.153</v>
      </c>
      <c r="E22" s="115">
        <v>16552.838</v>
      </c>
      <c r="F22" s="115">
        <v>22730.366000000002</v>
      </c>
      <c r="G22" s="115">
        <v>24491.292000000001</v>
      </c>
      <c r="H22" s="201">
        <v>25790.893</v>
      </c>
      <c r="I22" s="201">
        <v>27962.277999999998</v>
      </c>
      <c r="J22" s="201">
        <v>28354.567999999999</v>
      </c>
      <c r="K22" s="201">
        <v>28143.527999999998</v>
      </c>
      <c r="L22" s="205">
        <v>27129</v>
      </c>
      <c r="M22" s="540">
        <v>26605</v>
      </c>
      <c r="N22" s="540">
        <v>26006</v>
      </c>
      <c r="O22" s="168">
        <v>25522</v>
      </c>
      <c r="P22" s="168">
        <v>24688</v>
      </c>
      <c r="Q22" s="11"/>
      <c r="R22" s="11"/>
      <c r="S22" s="22"/>
      <c r="T22" s="22"/>
      <c r="U22" s="22"/>
      <c r="V22" s="22"/>
    </row>
    <row r="23" spans="1:22" s="2" customFormat="1" outlineLevel="1" x14ac:dyDescent="0.25">
      <c r="A23" s="144"/>
      <c r="B23" s="301" t="s">
        <v>136</v>
      </c>
      <c r="C23" s="302"/>
      <c r="D23" s="115">
        <v>30290.327000000001</v>
      </c>
      <c r="E23" s="115">
        <v>34758.521999999997</v>
      </c>
      <c r="F23" s="115">
        <v>23098.91</v>
      </c>
      <c r="G23" s="115">
        <v>50476.173000000003</v>
      </c>
      <c r="H23" s="201">
        <v>48736.21</v>
      </c>
      <c r="I23" s="201">
        <v>40491.716999999997</v>
      </c>
      <c r="J23" s="201">
        <v>48665.409</v>
      </c>
      <c r="K23" s="201">
        <v>52491.254000000001</v>
      </c>
      <c r="L23" s="205">
        <v>53462</v>
      </c>
      <c r="M23" s="540">
        <v>52371</v>
      </c>
      <c r="N23" s="540">
        <v>46634</v>
      </c>
      <c r="O23" s="168">
        <v>42224</v>
      </c>
      <c r="P23" s="168">
        <v>43972</v>
      </c>
      <c r="Q23" s="11"/>
      <c r="R23" s="11"/>
      <c r="S23" s="22"/>
      <c r="T23" s="22"/>
      <c r="U23" s="22"/>
      <c r="V23" s="22"/>
    </row>
    <row r="24" spans="1:22" s="2" customFormat="1" ht="15.75" customHeight="1" outlineLevel="1" x14ac:dyDescent="0.25">
      <c r="A24" s="144"/>
      <c r="B24" s="303" t="s">
        <v>38</v>
      </c>
      <c r="C24" s="304"/>
      <c r="D24" s="118">
        <v>-18031.803</v>
      </c>
      <c r="E24" s="118">
        <v>-22009.841</v>
      </c>
      <c r="F24" s="118">
        <v>-37361.742999999995</v>
      </c>
      <c r="G24" s="118">
        <v>-41852.972999999998</v>
      </c>
      <c r="H24" s="203">
        <v>-46298.856000000007</v>
      </c>
      <c r="I24" s="203">
        <v>-48876.020999999993</v>
      </c>
      <c r="J24" s="203">
        <v>-51493.025000000001</v>
      </c>
      <c r="K24" s="203">
        <v>-49083.451000000001</v>
      </c>
      <c r="L24" s="207">
        <v>-54592</v>
      </c>
      <c r="M24" s="543">
        <v>-53714</v>
      </c>
      <c r="N24" s="543">
        <f t="shared" ref="N24" si="8">SUM(N25:N28)</f>
        <v>-48088</v>
      </c>
      <c r="O24" s="171">
        <f t="shared" ref="O24" si="9">SUM(O25:O28)</f>
        <v>-43842</v>
      </c>
      <c r="P24" s="171">
        <f t="shared" ref="P24" si="10">SUM(P25:P28)</f>
        <v>-41805</v>
      </c>
    </row>
    <row r="25" spans="1:22" s="2" customFormat="1" outlineLevel="1" x14ac:dyDescent="0.25">
      <c r="A25" s="144"/>
      <c r="B25" s="305" t="s">
        <v>35</v>
      </c>
      <c r="C25" s="306"/>
      <c r="D25" s="119">
        <v>-9419.3899200186279</v>
      </c>
      <c r="E25" s="115">
        <v>-13124.915000000001</v>
      </c>
      <c r="F25" s="115">
        <v>-24001.852999999999</v>
      </c>
      <c r="G25" s="115">
        <v>-25886.412</v>
      </c>
      <c r="H25" s="201">
        <v>-28369.848000000002</v>
      </c>
      <c r="I25" s="201">
        <v>-29335.55</v>
      </c>
      <c r="J25" s="201">
        <v>-31830.720000000001</v>
      </c>
      <c r="K25" s="201">
        <v>-29496.159</v>
      </c>
      <c r="L25" s="205">
        <v>-33328</v>
      </c>
      <c r="M25" s="540">
        <v>-33569</v>
      </c>
      <c r="N25" s="540">
        <v>-30263</v>
      </c>
      <c r="O25" s="168">
        <v>-25314</v>
      </c>
      <c r="P25" s="168">
        <v>-24155</v>
      </c>
    </row>
    <row r="26" spans="1:22" s="2" customFormat="1" outlineLevel="1" x14ac:dyDescent="0.25">
      <c r="A26" s="144"/>
      <c r="B26" s="305" t="s">
        <v>36</v>
      </c>
      <c r="C26" s="306"/>
      <c r="D26" s="119">
        <v>-4234.4359286881627</v>
      </c>
      <c r="E26" s="115">
        <v>-5354.3209999999999</v>
      </c>
      <c r="F26" s="115">
        <v>-10213.522000000001</v>
      </c>
      <c r="G26" s="115">
        <v>-12855.174999999999</v>
      </c>
      <c r="H26" s="201">
        <v>-14765.248</v>
      </c>
      <c r="I26" s="201">
        <v>-16344.332</v>
      </c>
      <c r="J26" s="201">
        <v>-16240.405000000001</v>
      </c>
      <c r="K26" s="201">
        <v>-16145.373</v>
      </c>
      <c r="L26" s="205">
        <v>-18174</v>
      </c>
      <c r="M26" s="540">
        <v>-17012</v>
      </c>
      <c r="N26" s="540">
        <v>-14651</v>
      </c>
      <c r="O26" s="168">
        <v>-13834</v>
      </c>
      <c r="P26" s="168">
        <v>-12601</v>
      </c>
      <c r="Q26" s="11"/>
      <c r="R26" s="11"/>
      <c r="S26" s="22"/>
      <c r="T26" s="22"/>
      <c r="U26" s="22"/>
      <c r="V26" s="22"/>
    </row>
    <row r="27" spans="1:22" s="2" customFormat="1" outlineLevel="1" x14ac:dyDescent="0.25">
      <c r="A27" s="144"/>
      <c r="B27" s="305" t="s">
        <v>37</v>
      </c>
      <c r="C27" s="306"/>
      <c r="D27" s="119">
        <v>-632.52411628904906</v>
      </c>
      <c r="E27" s="115">
        <v>-393.084</v>
      </c>
      <c r="F27" s="115">
        <v>-306.39299999999997</v>
      </c>
      <c r="G27" s="115">
        <v>-219.87799999999999</v>
      </c>
      <c r="H27" s="201">
        <v>-252.999</v>
      </c>
      <c r="I27" s="201">
        <v>-248.73400000000001</v>
      </c>
      <c r="J27" s="201">
        <v>-293.428</v>
      </c>
      <c r="K27" s="201">
        <v>-292.31700000000001</v>
      </c>
      <c r="L27" s="205">
        <v>-295</v>
      </c>
      <c r="M27" s="540">
        <v>-326</v>
      </c>
      <c r="N27" s="540">
        <v>-318</v>
      </c>
      <c r="O27" s="168">
        <v>-314</v>
      </c>
      <c r="P27" s="168">
        <v>-317</v>
      </c>
      <c r="Q27" s="11"/>
      <c r="R27" s="11"/>
      <c r="S27" s="22"/>
      <c r="T27" s="22"/>
      <c r="U27" s="22"/>
      <c r="V27" s="22"/>
    </row>
    <row r="28" spans="1:22" s="2" customFormat="1" outlineLevel="1" x14ac:dyDescent="0.25">
      <c r="A28" s="144"/>
      <c r="B28" s="305" t="s">
        <v>136</v>
      </c>
      <c r="C28" s="306"/>
      <c r="D28" s="119">
        <v>-3741.9596540754701</v>
      </c>
      <c r="E28" s="115">
        <v>-3137.52</v>
      </c>
      <c r="F28" s="115">
        <v>-2839.9749999999999</v>
      </c>
      <c r="G28" s="115">
        <v>-2891.5079999999998</v>
      </c>
      <c r="H28" s="201">
        <v>-2910.761</v>
      </c>
      <c r="I28" s="201">
        <v>-2947.4050000000002</v>
      </c>
      <c r="J28" s="201">
        <v>-3128.4720000000002</v>
      </c>
      <c r="K28" s="201">
        <v>-3149.6019999999999</v>
      </c>
      <c r="L28" s="205">
        <v>-2795</v>
      </c>
      <c r="M28" s="540">
        <v>-2807</v>
      </c>
      <c r="N28" s="540">
        <v>-2856</v>
      </c>
      <c r="O28" s="168">
        <v>-4380</v>
      </c>
      <c r="P28" s="168">
        <v>-4732</v>
      </c>
      <c r="Q28" s="11"/>
      <c r="R28" s="11"/>
      <c r="S28" s="22"/>
      <c r="T28" s="22"/>
      <c r="U28" s="22"/>
      <c r="V28" s="22"/>
    </row>
    <row r="29" spans="1:22" x14ac:dyDescent="0.25">
      <c r="B29" s="276" t="s">
        <v>0</v>
      </c>
      <c r="C29" s="247"/>
      <c r="D29" s="116">
        <v>2950.308</v>
      </c>
      <c r="E29" s="125">
        <v>3513.2890000000002</v>
      </c>
      <c r="F29" s="125">
        <v>3427.7719999999999</v>
      </c>
      <c r="G29" s="125">
        <v>11702.565000000001</v>
      </c>
      <c r="H29" s="200">
        <v>12765.566999999999</v>
      </c>
      <c r="I29" s="200">
        <v>8634.884</v>
      </c>
      <c r="J29" s="200">
        <v>9912.4390000000003</v>
      </c>
      <c r="K29" s="200">
        <v>10643.891</v>
      </c>
      <c r="L29" s="204">
        <v>11370</v>
      </c>
      <c r="M29" s="541">
        <v>12434</v>
      </c>
      <c r="N29" s="541">
        <v>12842</v>
      </c>
      <c r="O29" s="169">
        <v>10644</v>
      </c>
      <c r="P29" s="169">
        <v>11529</v>
      </c>
    </row>
    <row r="30" spans="1:22" x14ac:dyDescent="0.25">
      <c r="B30" s="276" t="s">
        <v>4</v>
      </c>
      <c r="C30" s="247"/>
      <c r="D30" s="116">
        <v>559.12599999999998</v>
      </c>
      <c r="E30" s="125">
        <v>901.51700000000005</v>
      </c>
      <c r="F30" s="125">
        <v>840.20699999999999</v>
      </c>
      <c r="G30" s="125">
        <v>905.22299999999996</v>
      </c>
      <c r="H30" s="200">
        <v>876.76199999999994</v>
      </c>
      <c r="I30" s="200">
        <v>877.25900000000001</v>
      </c>
      <c r="J30" s="200">
        <v>826.505</v>
      </c>
      <c r="K30" s="200">
        <v>822.90200000000004</v>
      </c>
      <c r="L30" s="204">
        <v>744</v>
      </c>
      <c r="M30" s="541">
        <v>833</v>
      </c>
      <c r="N30" s="541">
        <v>780</v>
      </c>
      <c r="O30" s="169">
        <v>829</v>
      </c>
      <c r="P30" s="169">
        <v>1077</v>
      </c>
    </row>
    <row r="31" spans="1:22" x14ac:dyDescent="0.25">
      <c r="B31" s="276" t="s">
        <v>5</v>
      </c>
      <c r="C31" s="247"/>
      <c r="D31" s="116">
        <v>2523.6190000000001</v>
      </c>
      <c r="E31" s="125">
        <v>1374.049</v>
      </c>
      <c r="F31" s="125">
        <v>375.18400000000003</v>
      </c>
      <c r="G31" s="125">
        <v>226.934</v>
      </c>
      <c r="H31" s="200">
        <v>213.666</v>
      </c>
      <c r="I31" s="200">
        <v>249.67669810999931</v>
      </c>
      <c r="J31" s="200">
        <v>234.84079616999998</v>
      </c>
      <c r="K31" s="200">
        <v>116.30474699999951</v>
      </c>
      <c r="L31" s="204">
        <v>113</v>
      </c>
      <c r="M31" s="541">
        <v>104</v>
      </c>
      <c r="N31" s="541">
        <v>79</v>
      </c>
      <c r="O31" s="169">
        <v>81</v>
      </c>
      <c r="P31" s="169">
        <v>77</v>
      </c>
    </row>
    <row r="32" spans="1:22" x14ac:dyDescent="0.25">
      <c r="B32" s="276" t="s">
        <v>6</v>
      </c>
      <c r="C32" s="247"/>
      <c r="D32" s="116">
        <v>0</v>
      </c>
      <c r="E32" s="125">
        <v>1152.723</v>
      </c>
      <c r="F32" s="125">
        <v>4112.5360000000001</v>
      </c>
      <c r="G32" s="125">
        <v>7707.8810000000003</v>
      </c>
      <c r="H32" s="200">
        <v>7482.0839999999998</v>
      </c>
      <c r="I32" s="200">
        <v>7387.5983018900006</v>
      </c>
      <c r="J32" s="200">
        <v>7259.8682038300003</v>
      </c>
      <c r="K32" s="200">
        <v>7225.5272530000002</v>
      </c>
      <c r="L32" s="204">
        <v>7159</v>
      </c>
      <c r="M32" s="541">
        <v>7143</v>
      </c>
      <c r="N32" s="541">
        <v>7055</v>
      </c>
      <c r="O32" s="169">
        <v>6651</v>
      </c>
      <c r="P32" s="169">
        <v>6610</v>
      </c>
    </row>
    <row r="33" spans="1:22" x14ac:dyDescent="0.25">
      <c r="B33" s="276" t="s">
        <v>7</v>
      </c>
      <c r="C33" s="247"/>
      <c r="D33" s="116">
        <v>6713.93</v>
      </c>
      <c r="E33" s="125">
        <v>7778.5020000000004</v>
      </c>
      <c r="F33" s="125">
        <v>9379.3349999999991</v>
      </c>
      <c r="G33" s="125">
        <v>11928.56</v>
      </c>
      <c r="H33" s="200">
        <v>12064.715</v>
      </c>
      <c r="I33" s="200">
        <v>12422.007</v>
      </c>
      <c r="J33" s="200">
        <v>12817.924999999999</v>
      </c>
      <c r="K33" s="200">
        <v>13477.258</v>
      </c>
      <c r="L33" s="204">
        <v>13734</v>
      </c>
      <c r="M33" s="541">
        <v>13800</v>
      </c>
      <c r="N33" s="541">
        <v>14228</v>
      </c>
      <c r="O33" s="169">
        <v>15724</v>
      </c>
      <c r="P33" s="169">
        <v>16183</v>
      </c>
    </row>
    <row r="34" spans="1:22" x14ac:dyDescent="0.25">
      <c r="B34" s="276" t="s">
        <v>8</v>
      </c>
      <c r="C34" s="247"/>
      <c r="D34" s="116">
        <v>0</v>
      </c>
      <c r="E34" s="125">
        <v>73.195999999999998</v>
      </c>
      <c r="F34" s="116">
        <v>0</v>
      </c>
      <c r="G34" s="125">
        <v>20.774000000000001</v>
      </c>
      <c r="H34" s="200">
        <v>397.37700000000001</v>
      </c>
      <c r="I34" s="200">
        <v>318.99099999999999</v>
      </c>
      <c r="J34" s="200">
        <v>81.058000000000007</v>
      </c>
      <c r="K34" s="200">
        <v>763.572</v>
      </c>
      <c r="L34" s="204">
        <v>769</v>
      </c>
      <c r="M34" s="541">
        <v>19</v>
      </c>
      <c r="N34" s="541">
        <v>5</v>
      </c>
      <c r="O34" s="169">
        <v>26</v>
      </c>
      <c r="P34" s="169">
        <v>65</v>
      </c>
    </row>
    <row r="35" spans="1:22" x14ac:dyDescent="0.25">
      <c r="B35" s="276" t="s">
        <v>9</v>
      </c>
      <c r="C35" s="247"/>
      <c r="D35" s="116">
        <v>3253.1950000000002</v>
      </c>
      <c r="E35" s="125">
        <v>3259.1669999999999</v>
      </c>
      <c r="F35" s="125">
        <v>3286.4760000000001</v>
      </c>
      <c r="G35" s="125">
        <v>3296.2089999999998</v>
      </c>
      <c r="H35" s="200">
        <v>3324.596</v>
      </c>
      <c r="I35" s="200">
        <v>3324.1289999999999</v>
      </c>
      <c r="J35" s="200">
        <v>3537.3960000000002</v>
      </c>
      <c r="K35" s="200">
        <v>4561.8</v>
      </c>
      <c r="L35" s="204">
        <v>4647</v>
      </c>
      <c r="M35" s="541">
        <v>4272</v>
      </c>
      <c r="N35" s="541">
        <v>4230</v>
      </c>
      <c r="O35" s="169">
        <v>4090</v>
      </c>
      <c r="P35" s="169">
        <v>4113</v>
      </c>
    </row>
    <row r="36" spans="1:22" x14ac:dyDescent="0.25">
      <c r="B36" s="277" t="s">
        <v>10</v>
      </c>
      <c r="C36" s="84"/>
      <c r="D36" s="256">
        <v>1437.8349999999859</v>
      </c>
      <c r="E36" s="257">
        <v>2204.346</v>
      </c>
      <c r="F36" s="257">
        <v>9958.6790000000001</v>
      </c>
      <c r="G36" s="257">
        <v>7911.5569999999998</v>
      </c>
      <c r="H36" s="258">
        <v>9935.5789999999997</v>
      </c>
      <c r="I36" s="258">
        <v>6882.7110000000002</v>
      </c>
      <c r="J36" s="258">
        <v>5968.808</v>
      </c>
      <c r="K36" s="258">
        <v>6504.5590000000002</v>
      </c>
      <c r="L36" s="259">
        <v>5755</v>
      </c>
      <c r="M36" s="258">
        <v>4992</v>
      </c>
      <c r="N36" s="258">
        <v>5700</v>
      </c>
      <c r="O36" s="260">
        <v>4038</v>
      </c>
      <c r="P36" s="260">
        <v>3667</v>
      </c>
    </row>
    <row r="37" spans="1:22" x14ac:dyDescent="0.25"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22" x14ac:dyDescent="0.25">
      <c r="B38" s="100" t="s">
        <v>11</v>
      </c>
      <c r="C38" s="100"/>
      <c r="D38" s="101">
        <v>216764.90599999999</v>
      </c>
      <c r="E38" s="101">
        <v>288249.70999999996</v>
      </c>
      <c r="F38" s="102">
        <v>357001.32300000009</v>
      </c>
      <c r="G38" s="102">
        <v>480116.87899999996</v>
      </c>
      <c r="H38" s="102">
        <v>486662.99100000004</v>
      </c>
      <c r="I38" s="102">
        <v>483529.26700000005</v>
      </c>
      <c r="J38" s="102">
        <v>554957.96299999987</v>
      </c>
      <c r="K38" s="102">
        <v>602464.23100000003</v>
      </c>
      <c r="L38" s="102">
        <v>627881</v>
      </c>
      <c r="M38" s="102">
        <v>752490</v>
      </c>
      <c r="N38" s="102">
        <f>N6+N13+N14+N29+N30+N31+N32+N33+N34+N35+N36</f>
        <v>789147</v>
      </c>
      <c r="O38" s="102">
        <f>O6+O13+O14+O29+O30+O31+O32+O33+O34+O35+O36</f>
        <v>754498</v>
      </c>
      <c r="P38" s="102">
        <f>P6+P13+P14+P29+P30+P31+P32+P33+P34+P35+P36</f>
        <v>767212</v>
      </c>
    </row>
    <row r="39" spans="1:22" x14ac:dyDescent="0.25">
      <c r="B39" s="3"/>
      <c r="C39" s="3"/>
      <c r="D39" s="34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22" ht="16.149999999999999" customHeight="1" x14ac:dyDescent="0.25">
      <c r="B40" s="85" t="s">
        <v>12</v>
      </c>
      <c r="C40" s="83"/>
      <c r="D40" s="172"/>
      <c r="E40" s="162"/>
      <c r="F40" s="172"/>
      <c r="G40" s="162"/>
      <c r="H40" s="172"/>
      <c r="I40" s="172"/>
      <c r="J40" s="172"/>
      <c r="K40" s="172"/>
      <c r="L40" s="162"/>
      <c r="M40" s="162"/>
      <c r="N40" s="162"/>
      <c r="O40" s="162"/>
      <c r="P40" s="162"/>
    </row>
    <row r="41" spans="1:22" s="2" customFormat="1" x14ac:dyDescent="0.25">
      <c r="A41" s="144"/>
      <c r="B41" s="269" t="s">
        <v>13</v>
      </c>
      <c r="C41" s="270"/>
      <c r="D41" s="307">
        <v>24462.173000000003</v>
      </c>
      <c r="E41" s="307">
        <v>21429.289000000001</v>
      </c>
      <c r="F41" s="213">
        <v>10983.628000000001</v>
      </c>
      <c r="G41" s="307">
        <v>35458.347999999998</v>
      </c>
      <c r="H41" s="308">
        <v>23078.863000000001</v>
      </c>
      <c r="I41" s="308">
        <v>16037.871999999999</v>
      </c>
      <c r="J41" s="308">
        <v>38624.406000000003</v>
      </c>
      <c r="K41" s="308">
        <v>97636.435999999987</v>
      </c>
      <c r="L41" s="214">
        <v>113347</v>
      </c>
      <c r="M41" s="213">
        <v>77301</v>
      </c>
      <c r="N41" s="213">
        <f t="shared" ref="N41:O41" si="11">N42+N43+N44</f>
        <v>135253</v>
      </c>
      <c r="O41" s="173">
        <f t="shared" si="11"/>
        <v>109781</v>
      </c>
      <c r="P41" s="173">
        <f t="shared" ref="P41" si="12">P42+P43+P44</f>
        <v>158477</v>
      </c>
    </row>
    <row r="42" spans="1:22" outlineLevel="1" x14ac:dyDescent="0.25">
      <c r="B42" s="298" t="s">
        <v>39</v>
      </c>
      <c r="C42" s="246"/>
      <c r="D42" s="130">
        <v>20540.078000000001</v>
      </c>
      <c r="E42" s="132">
        <v>9332.6710000000003</v>
      </c>
      <c r="F42" s="211">
        <v>4001.297</v>
      </c>
      <c r="G42" s="132">
        <v>11961.502</v>
      </c>
      <c r="H42" s="211">
        <v>5005.0770000000002</v>
      </c>
      <c r="I42" s="211">
        <v>7005.8950000000004</v>
      </c>
      <c r="J42" s="211">
        <v>20609.013999999999</v>
      </c>
      <c r="K42" s="211">
        <v>61303.71</v>
      </c>
      <c r="L42" s="215">
        <v>72897</v>
      </c>
      <c r="M42" s="544">
        <v>41355</v>
      </c>
      <c r="N42" s="544">
        <v>90795</v>
      </c>
      <c r="O42" s="174">
        <v>57260</v>
      </c>
      <c r="P42" s="174">
        <v>80278</v>
      </c>
    </row>
    <row r="43" spans="1:22" outlineLevel="1" x14ac:dyDescent="0.25">
      <c r="B43" s="298" t="s">
        <v>40</v>
      </c>
      <c r="C43" s="246"/>
      <c r="D43" s="130">
        <v>2549.6289999999999</v>
      </c>
      <c r="E43" s="132">
        <v>9473.6</v>
      </c>
      <c r="F43" s="211">
        <v>1894.258</v>
      </c>
      <c r="G43" s="132">
        <v>14231.120999999999</v>
      </c>
      <c r="H43" s="211">
        <v>12629.73</v>
      </c>
      <c r="I43" s="211">
        <v>3226.4459999999999</v>
      </c>
      <c r="J43" s="211">
        <v>15040.63</v>
      </c>
      <c r="K43" s="211">
        <v>31889.038</v>
      </c>
      <c r="L43" s="215">
        <v>35783</v>
      </c>
      <c r="M43" s="544">
        <v>30080</v>
      </c>
      <c r="N43" s="544">
        <v>36149</v>
      </c>
      <c r="O43" s="174">
        <v>37375</v>
      </c>
      <c r="P43" s="174">
        <v>66022</v>
      </c>
    </row>
    <row r="44" spans="1:22" outlineLevel="1" x14ac:dyDescent="0.25">
      <c r="B44" s="298" t="s">
        <v>41</v>
      </c>
      <c r="C44" s="246"/>
      <c r="D44" s="130">
        <v>1372.4659999999999</v>
      </c>
      <c r="E44" s="130">
        <v>2623.018</v>
      </c>
      <c r="F44" s="211">
        <v>5088.0730000000003</v>
      </c>
      <c r="G44" s="132">
        <v>9265.7250000000004</v>
      </c>
      <c r="H44" s="211">
        <v>5444.0559999999996</v>
      </c>
      <c r="I44" s="211">
        <v>5805.5309999999999</v>
      </c>
      <c r="J44" s="211">
        <v>2974.7620000000002</v>
      </c>
      <c r="K44" s="211">
        <v>4443.6880000000001</v>
      </c>
      <c r="L44" s="215">
        <v>4667</v>
      </c>
      <c r="M44" s="544">
        <v>5866</v>
      </c>
      <c r="N44" s="544">
        <v>8309</v>
      </c>
      <c r="O44" s="174">
        <v>15146</v>
      </c>
      <c r="P44" s="174">
        <v>12177</v>
      </c>
    </row>
    <row r="45" spans="1:22" s="2" customFormat="1" x14ac:dyDescent="0.25">
      <c r="A45" s="144"/>
      <c r="B45" s="276" t="s">
        <v>14</v>
      </c>
      <c r="C45" s="247"/>
      <c r="D45" s="131">
        <v>149739.239</v>
      </c>
      <c r="E45" s="131">
        <v>200168.29200000002</v>
      </c>
      <c r="F45" s="210">
        <v>257470.39199999999</v>
      </c>
      <c r="G45" s="131">
        <v>332050.90999999997</v>
      </c>
      <c r="H45" s="248">
        <v>347245.76</v>
      </c>
      <c r="I45" s="248">
        <v>332535.44799999997</v>
      </c>
      <c r="J45" s="248">
        <v>377682.58100000001</v>
      </c>
      <c r="K45" s="248">
        <v>359581.76399999997</v>
      </c>
      <c r="L45" s="216">
        <v>371407</v>
      </c>
      <c r="M45" s="545">
        <v>450224</v>
      </c>
      <c r="N45" s="545">
        <f t="shared" ref="N45:O45" si="13">N46+N47</f>
        <v>463239</v>
      </c>
      <c r="O45" s="175">
        <f t="shared" si="13"/>
        <v>489490</v>
      </c>
      <c r="P45" s="175">
        <f t="shared" ref="P45" si="14">P46+P47</f>
        <v>453438</v>
      </c>
    </row>
    <row r="46" spans="1:22" s="2" customFormat="1" outlineLevel="1" x14ac:dyDescent="0.25">
      <c r="A46" s="144"/>
      <c r="B46" s="309" t="s">
        <v>43</v>
      </c>
      <c r="C46" s="249"/>
      <c r="D46" s="132">
        <v>108041.859</v>
      </c>
      <c r="E46" s="132">
        <v>158198.228</v>
      </c>
      <c r="F46" s="211">
        <v>180974.67300000001</v>
      </c>
      <c r="G46" s="132">
        <v>269835.50699999998</v>
      </c>
      <c r="H46" s="211">
        <v>292224.45799999998</v>
      </c>
      <c r="I46" s="211">
        <v>272904.93799999997</v>
      </c>
      <c r="J46" s="211">
        <v>302387.848</v>
      </c>
      <c r="K46" s="211">
        <v>292959.97899999999</v>
      </c>
      <c r="L46" s="215">
        <v>316729</v>
      </c>
      <c r="M46" s="544">
        <v>372789</v>
      </c>
      <c r="N46" s="544">
        <f t="shared" ref="N46:O47" si="15">N49+N52</f>
        <v>379105</v>
      </c>
      <c r="O46" s="174">
        <f t="shared" si="15"/>
        <v>400176</v>
      </c>
      <c r="P46" s="174">
        <f t="shared" ref="P46" si="16">P49+P52</f>
        <v>362229</v>
      </c>
      <c r="Q46" s="11"/>
      <c r="R46" s="11"/>
      <c r="S46" s="22"/>
      <c r="T46" s="22"/>
      <c r="U46" s="22"/>
      <c r="V46" s="22"/>
    </row>
    <row r="47" spans="1:22" s="2" customFormat="1" outlineLevel="1" x14ac:dyDescent="0.25">
      <c r="A47" s="144"/>
      <c r="B47" s="309" t="s">
        <v>107</v>
      </c>
      <c r="C47" s="249"/>
      <c r="D47" s="132">
        <v>41697.380000000005</v>
      </c>
      <c r="E47" s="132">
        <v>41970.063999999998</v>
      </c>
      <c r="F47" s="211">
        <v>76495.718999999997</v>
      </c>
      <c r="G47" s="132">
        <v>62215.402999999998</v>
      </c>
      <c r="H47" s="211">
        <v>55021.301999999996</v>
      </c>
      <c r="I47" s="211">
        <v>59630.509999999995</v>
      </c>
      <c r="J47" s="211">
        <v>75294.733000000007</v>
      </c>
      <c r="K47" s="211">
        <v>66621.785000000003</v>
      </c>
      <c r="L47" s="215">
        <v>54678</v>
      </c>
      <c r="M47" s="544">
        <v>77435</v>
      </c>
      <c r="N47" s="544">
        <f t="shared" si="15"/>
        <v>84134</v>
      </c>
      <c r="O47" s="174">
        <f t="shared" si="15"/>
        <v>89314</v>
      </c>
      <c r="P47" s="174">
        <f t="shared" ref="P47" si="17">P50+P53</f>
        <v>91209</v>
      </c>
      <c r="Q47" s="11"/>
      <c r="R47" s="11"/>
      <c r="S47" s="22"/>
      <c r="T47" s="22"/>
      <c r="U47" s="22"/>
      <c r="V47" s="22"/>
    </row>
    <row r="48" spans="1:22" s="2" customFormat="1" outlineLevel="1" x14ac:dyDescent="0.25">
      <c r="A48" s="144"/>
      <c r="B48" s="310" t="s">
        <v>42</v>
      </c>
      <c r="C48" s="250"/>
      <c r="D48" s="133">
        <v>106808.772</v>
      </c>
      <c r="E48" s="133">
        <v>115863.68950000001</v>
      </c>
      <c r="F48" s="212">
        <v>141951.03400000001</v>
      </c>
      <c r="G48" s="133">
        <f>G49+G50</f>
        <v>198551.92700000003</v>
      </c>
      <c r="H48" s="212">
        <v>214941.52399999998</v>
      </c>
      <c r="I48" s="212">
        <v>216019.6</v>
      </c>
      <c r="J48" s="212">
        <v>214526.40600000002</v>
      </c>
      <c r="K48" s="212">
        <v>225213.39199999999</v>
      </c>
      <c r="L48" s="217">
        <v>237934</v>
      </c>
      <c r="M48" s="546">
        <v>289191</v>
      </c>
      <c r="N48" s="546">
        <f t="shared" ref="N48:O48" si="18">N49+N50</f>
        <v>312387</v>
      </c>
      <c r="O48" s="176">
        <f t="shared" si="18"/>
        <v>323414</v>
      </c>
      <c r="P48" s="176">
        <f t="shared" ref="P48" si="19">P49+P50</f>
        <v>296928</v>
      </c>
    </row>
    <row r="49" spans="1:22" s="2" customFormat="1" outlineLevel="1" x14ac:dyDescent="0.25">
      <c r="A49" s="144"/>
      <c r="B49" s="311" t="s">
        <v>43</v>
      </c>
      <c r="C49" s="251"/>
      <c r="D49" s="132">
        <v>88590.163</v>
      </c>
      <c r="E49" s="132">
        <v>95209.357000000004</v>
      </c>
      <c r="F49" s="211">
        <v>111183.83</v>
      </c>
      <c r="G49" s="156">
        <v>169062.99600000001</v>
      </c>
      <c r="H49" s="211">
        <v>180788.25599999999</v>
      </c>
      <c r="I49" s="211">
        <v>177832.902</v>
      </c>
      <c r="J49" s="211">
        <v>166849.99100000001</v>
      </c>
      <c r="K49" s="211">
        <v>182207.86600000001</v>
      </c>
      <c r="L49" s="218">
        <v>202092</v>
      </c>
      <c r="M49" s="547">
        <v>232443</v>
      </c>
      <c r="N49" s="547">
        <v>251623</v>
      </c>
      <c r="O49" s="177">
        <v>259288</v>
      </c>
      <c r="P49" s="177">
        <v>227165</v>
      </c>
      <c r="Q49" s="11"/>
      <c r="R49" s="11"/>
      <c r="S49" s="22"/>
      <c r="T49" s="22"/>
      <c r="U49" s="22"/>
      <c r="V49" s="22"/>
    </row>
    <row r="50" spans="1:22" s="2" customFormat="1" outlineLevel="1" x14ac:dyDescent="0.25">
      <c r="A50" s="144"/>
      <c r="B50" s="311" t="s">
        <v>44</v>
      </c>
      <c r="C50" s="251"/>
      <c r="D50" s="132">
        <v>18218.609</v>
      </c>
      <c r="E50" s="132">
        <v>20654.3325</v>
      </c>
      <c r="F50" s="211">
        <v>30767.204000000002</v>
      </c>
      <c r="G50" s="156">
        <v>29488.931</v>
      </c>
      <c r="H50" s="211">
        <v>34153.267999999996</v>
      </c>
      <c r="I50" s="211">
        <v>38186.697999999997</v>
      </c>
      <c r="J50" s="211">
        <v>47676.415000000001</v>
      </c>
      <c r="K50" s="211">
        <v>43005.525999999998</v>
      </c>
      <c r="L50" s="218">
        <v>35842</v>
      </c>
      <c r="M50" s="547">
        <v>56748</v>
      </c>
      <c r="N50" s="547">
        <v>60764</v>
      </c>
      <c r="O50" s="177">
        <v>64126</v>
      </c>
      <c r="P50" s="177">
        <v>69763</v>
      </c>
      <c r="Q50" s="11"/>
      <c r="R50" s="11"/>
      <c r="S50" s="22"/>
      <c r="T50" s="22"/>
      <c r="U50" s="22"/>
      <c r="V50" s="22"/>
    </row>
    <row r="51" spans="1:22" s="2" customFormat="1" outlineLevel="1" x14ac:dyDescent="0.25">
      <c r="A51" s="144"/>
      <c r="B51" s="310" t="s">
        <v>45</v>
      </c>
      <c r="C51" s="250"/>
      <c r="D51" s="133">
        <v>42930.467000000004</v>
      </c>
      <c r="E51" s="133">
        <v>84304.602500000008</v>
      </c>
      <c r="F51" s="212">
        <v>115519.35799999999</v>
      </c>
      <c r="G51" s="157">
        <f>G52+G53</f>
        <v>133498.98300000001</v>
      </c>
      <c r="H51" s="212">
        <v>132304.236</v>
      </c>
      <c r="I51" s="212">
        <v>116515.848</v>
      </c>
      <c r="J51" s="212">
        <v>163156.17499999999</v>
      </c>
      <c r="K51" s="212">
        <v>134368.372</v>
      </c>
      <c r="L51" s="219">
        <v>133473</v>
      </c>
      <c r="M51" s="548">
        <v>161033</v>
      </c>
      <c r="N51" s="548">
        <f t="shared" ref="N51:O51" si="20">N52+N53</f>
        <v>150852</v>
      </c>
      <c r="O51" s="178">
        <f t="shared" si="20"/>
        <v>166076</v>
      </c>
      <c r="P51" s="178">
        <f t="shared" ref="P51" si="21">P52+P53</f>
        <v>156510</v>
      </c>
    </row>
    <row r="52" spans="1:22" s="2" customFormat="1" outlineLevel="1" x14ac:dyDescent="0.25">
      <c r="A52" s="144"/>
      <c r="B52" s="311" t="s">
        <v>43</v>
      </c>
      <c r="C52" s="251"/>
      <c r="D52" s="132">
        <v>19451.696</v>
      </c>
      <c r="E52" s="132">
        <v>62988.871000000006</v>
      </c>
      <c r="F52" s="211">
        <v>69790.842999999993</v>
      </c>
      <c r="G52" s="156">
        <v>100772.511</v>
      </c>
      <c r="H52" s="211">
        <v>111436.202</v>
      </c>
      <c r="I52" s="211">
        <v>95072.035999999993</v>
      </c>
      <c r="J52" s="211">
        <v>135537.85699999999</v>
      </c>
      <c r="K52" s="211">
        <v>110752.113</v>
      </c>
      <c r="L52" s="218">
        <v>114637</v>
      </c>
      <c r="M52" s="547">
        <v>140346</v>
      </c>
      <c r="N52" s="547">
        <v>127482</v>
      </c>
      <c r="O52" s="177">
        <v>140888</v>
      </c>
      <c r="P52" s="177">
        <v>135064</v>
      </c>
      <c r="Q52" s="11"/>
      <c r="R52" s="11"/>
      <c r="S52" s="22"/>
      <c r="T52" s="22"/>
      <c r="U52" s="22"/>
      <c r="V52" s="22"/>
    </row>
    <row r="53" spans="1:22" outlineLevel="1" x14ac:dyDescent="0.25">
      <c r="B53" s="311" t="s">
        <v>44</v>
      </c>
      <c r="C53" s="251"/>
      <c r="D53" s="132">
        <v>23478.771000000001</v>
      </c>
      <c r="E53" s="132">
        <v>21315.731500000002</v>
      </c>
      <c r="F53" s="211">
        <v>45728.514999999999</v>
      </c>
      <c r="G53" s="156">
        <v>32726.472000000002</v>
      </c>
      <c r="H53" s="211">
        <v>20868.034</v>
      </c>
      <c r="I53" s="211">
        <v>21443.812000000002</v>
      </c>
      <c r="J53" s="211">
        <v>27618.317999999999</v>
      </c>
      <c r="K53" s="211">
        <v>23616.258999999998</v>
      </c>
      <c r="L53" s="218">
        <v>18836</v>
      </c>
      <c r="M53" s="547">
        <v>20687</v>
      </c>
      <c r="N53" s="547">
        <v>23370</v>
      </c>
      <c r="O53" s="177">
        <v>25188</v>
      </c>
      <c r="P53" s="177">
        <v>21446</v>
      </c>
      <c r="Q53" s="11"/>
      <c r="R53" s="11"/>
      <c r="S53" s="22"/>
      <c r="T53" s="22"/>
      <c r="U53" s="22"/>
      <c r="V53" s="22"/>
    </row>
    <row r="54" spans="1:22" s="2" customFormat="1" x14ac:dyDescent="0.25">
      <c r="A54" s="144"/>
      <c r="B54" s="312" t="s">
        <v>46</v>
      </c>
      <c r="C54" s="247"/>
      <c r="D54" s="131">
        <v>1839.8130000000001</v>
      </c>
      <c r="E54" s="131">
        <v>5581.0259999999998</v>
      </c>
      <c r="F54" s="210">
        <v>12513.269</v>
      </c>
      <c r="G54" s="131">
        <v>18186.915000000001</v>
      </c>
      <c r="H54" s="210">
        <v>17739.651000000002</v>
      </c>
      <c r="I54" s="210">
        <v>17749.887999999999</v>
      </c>
      <c r="J54" s="210">
        <v>17782.548999999999</v>
      </c>
      <c r="K54" s="210">
        <v>17848.204000000002</v>
      </c>
      <c r="L54" s="216">
        <v>18371</v>
      </c>
      <c r="M54" s="545">
        <v>26553</v>
      </c>
      <c r="N54" s="545">
        <v>19385</v>
      </c>
      <c r="O54" s="175">
        <v>14185</v>
      </c>
      <c r="P54" s="175">
        <v>14195</v>
      </c>
    </row>
    <row r="55" spans="1:22" x14ac:dyDescent="0.25">
      <c r="B55" s="276" t="s">
        <v>16</v>
      </c>
      <c r="C55" s="247"/>
      <c r="D55" s="131">
        <v>0</v>
      </c>
      <c r="E55" s="131">
        <v>0</v>
      </c>
      <c r="F55" s="210">
        <v>0</v>
      </c>
      <c r="G55" s="131">
        <v>0</v>
      </c>
      <c r="H55" s="210">
        <v>3279.5329999999999</v>
      </c>
      <c r="I55" s="210">
        <v>1272.048</v>
      </c>
      <c r="J55" s="210">
        <v>2164.0329999999999</v>
      </c>
      <c r="K55" s="210">
        <v>0</v>
      </c>
      <c r="L55" s="216">
        <v>0</v>
      </c>
      <c r="M55" s="545">
        <v>0</v>
      </c>
      <c r="N55" s="545">
        <v>0</v>
      </c>
      <c r="O55" s="175">
        <v>0</v>
      </c>
      <c r="P55" s="175">
        <v>0</v>
      </c>
    </row>
    <row r="56" spans="1:22" x14ac:dyDescent="0.25">
      <c r="B56" s="276" t="s">
        <v>17</v>
      </c>
      <c r="C56" s="247"/>
      <c r="D56" s="131">
        <v>586.11199999999997</v>
      </c>
      <c r="E56" s="131">
        <v>943.13499999999999</v>
      </c>
      <c r="F56" s="210">
        <v>887.20899999999995</v>
      </c>
      <c r="G56" s="131">
        <v>951.01700000000005</v>
      </c>
      <c r="H56" s="210">
        <v>939.62599999999998</v>
      </c>
      <c r="I56" s="210">
        <v>942.37400000000002</v>
      </c>
      <c r="J56" s="210">
        <v>899.14300000000003</v>
      </c>
      <c r="K56" s="210">
        <v>874.77200000000005</v>
      </c>
      <c r="L56" s="216">
        <v>817</v>
      </c>
      <c r="M56" s="545">
        <v>903</v>
      </c>
      <c r="N56" s="545">
        <v>858</v>
      </c>
      <c r="O56" s="175">
        <v>885</v>
      </c>
      <c r="P56" s="175">
        <v>1159</v>
      </c>
    </row>
    <row r="57" spans="1:22" x14ac:dyDescent="0.25">
      <c r="B57" s="276" t="s">
        <v>18</v>
      </c>
      <c r="C57" s="247"/>
      <c r="D57" s="131">
        <v>16.806999999999999</v>
      </c>
      <c r="E57" s="131">
        <v>0</v>
      </c>
      <c r="F57" s="210">
        <v>108.462</v>
      </c>
      <c r="G57" s="131">
        <v>63.899000000000001</v>
      </c>
      <c r="H57" s="210">
        <v>77.709000000000003</v>
      </c>
      <c r="I57" s="210">
        <v>154.62</v>
      </c>
      <c r="J57" s="210">
        <v>269.75900000000001</v>
      </c>
      <c r="K57" s="210">
        <v>326.20699999999999</v>
      </c>
      <c r="L57" s="216">
        <v>936</v>
      </c>
      <c r="M57" s="545">
        <v>836</v>
      </c>
      <c r="N57" s="545">
        <v>762</v>
      </c>
      <c r="O57" s="175">
        <v>663</v>
      </c>
      <c r="P57" s="175">
        <v>781</v>
      </c>
    </row>
    <row r="58" spans="1:22" s="2" customFormat="1" x14ac:dyDescent="0.25">
      <c r="A58" s="144"/>
      <c r="B58" s="277" t="s">
        <v>19</v>
      </c>
      <c r="C58" s="84"/>
      <c r="D58" s="252">
        <v>5906.1210000000001</v>
      </c>
      <c r="E58" s="252">
        <v>9473.0259999999998</v>
      </c>
      <c r="F58" s="253">
        <v>10691.5</v>
      </c>
      <c r="G58" s="252">
        <v>17113.435000000001</v>
      </c>
      <c r="H58" s="253">
        <v>14221.95</v>
      </c>
      <c r="I58" s="253">
        <v>14420.306</v>
      </c>
      <c r="J58" s="253">
        <v>13938.089</v>
      </c>
      <c r="K58" s="253">
        <v>13761.361999999999</v>
      </c>
      <c r="L58" s="254">
        <v>9766</v>
      </c>
      <c r="M58" s="253">
        <v>83641</v>
      </c>
      <c r="N58" s="253">
        <v>47382</v>
      </c>
      <c r="O58" s="255">
        <v>13155</v>
      </c>
      <c r="P58" s="255">
        <v>11370</v>
      </c>
    </row>
    <row r="59" spans="1:22" x14ac:dyDescent="0.25">
      <c r="B59" s="19"/>
      <c r="C59" s="4"/>
      <c r="D59" s="32"/>
      <c r="E59" s="33"/>
      <c r="F59" s="33"/>
      <c r="G59" s="36"/>
      <c r="H59" s="33"/>
      <c r="I59" s="33"/>
      <c r="J59" s="33"/>
      <c r="K59" s="33"/>
      <c r="L59" s="36"/>
      <c r="M59" s="36"/>
      <c r="N59" s="36"/>
      <c r="O59" s="36"/>
      <c r="P59" s="36"/>
    </row>
    <row r="60" spans="1:22" x14ac:dyDescent="0.25">
      <c r="B60" s="100" t="s">
        <v>20</v>
      </c>
      <c r="C60" s="100"/>
      <c r="D60" s="101">
        <v>182550.26500000001</v>
      </c>
      <c r="E60" s="101">
        <v>237594.76800000004</v>
      </c>
      <c r="F60" s="101">
        <v>292654.45999999996</v>
      </c>
      <c r="G60" s="101">
        <v>403824.52399999992</v>
      </c>
      <c r="H60" s="101">
        <v>406583.092</v>
      </c>
      <c r="I60" s="101">
        <v>383112.55599999992</v>
      </c>
      <c r="J60" s="101">
        <v>451360.56</v>
      </c>
      <c r="K60" s="101">
        <v>490028.745</v>
      </c>
      <c r="L60" s="101">
        <v>514644</v>
      </c>
      <c r="M60" s="101">
        <v>639458</v>
      </c>
      <c r="N60" s="101">
        <f>N41+N45+N54+N55+N56+N57+N58</f>
        <v>666879</v>
      </c>
      <c r="O60" s="101">
        <f>O41+O45+O54+O55+O56+O57+O58</f>
        <v>628159</v>
      </c>
      <c r="P60" s="101">
        <f>P41+P45+P54+P55+P56+P57+P58</f>
        <v>639420</v>
      </c>
    </row>
    <row r="61" spans="1:22" x14ac:dyDescent="0.25">
      <c r="B61" s="3"/>
      <c r="C61" s="3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22" x14ac:dyDescent="0.25">
      <c r="B62" s="313" t="s">
        <v>21</v>
      </c>
      <c r="C62" s="247"/>
      <c r="D62" s="314"/>
      <c r="E62" s="220"/>
      <c r="F62" s="220"/>
      <c r="G62" s="220"/>
      <c r="H62" s="179"/>
      <c r="I62" s="179"/>
      <c r="J62" s="179"/>
      <c r="K62" s="179"/>
      <c r="L62" s="179"/>
      <c r="M62" s="179"/>
      <c r="N62" s="179"/>
      <c r="O62" s="179"/>
      <c r="P62" s="179"/>
    </row>
    <row r="63" spans="1:22" x14ac:dyDescent="0.25">
      <c r="B63" s="269" t="s">
        <v>22</v>
      </c>
      <c r="C63" s="270"/>
      <c r="D63" s="315">
        <v>13914.423000000001</v>
      </c>
      <c r="E63" s="315">
        <v>15492.955</v>
      </c>
      <c r="F63" s="315">
        <v>15492.955</v>
      </c>
      <c r="G63" s="221">
        <v>15492.74</v>
      </c>
      <c r="H63" s="316">
        <v>15492.74</v>
      </c>
      <c r="I63" s="222">
        <v>17792.740000000002</v>
      </c>
      <c r="J63" s="222">
        <v>17792.740000000002</v>
      </c>
      <c r="K63" s="222">
        <v>17792.740000000002</v>
      </c>
      <c r="L63" s="221">
        <v>17793</v>
      </c>
      <c r="M63" s="222">
        <v>17793</v>
      </c>
      <c r="N63" s="222">
        <v>19242</v>
      </c>
      <c r="O63" s="180">
        <v>19242</v>
      </c>
      <c r="P63" s="180">
        <v>19242</v>
      </c>
    </row>
    <row r="64" spans="1:22" x14ac:dyDescent="0.25">
      <c r="B64" s="276" t="s">
        <v>23</v>
      </c>
      <c r="C64" s="247"/>
      <c r="D64" s="87">
        <v>12640.965</v>
      </c>
      <c r="E64" s="87">
        <v>15062.433000000001</v>
      </c>
      <c r="F64" s="87">
        <v>15062.433000000001</v>
      </c>
      <c r="G64" s="134">
        <v>15062.433000000001</v>
      </c>
      <c r="H64" s="135">
        <v>15062.433000000001</v>
      </c>
      <c r="I64" s="220">
        <v>23684.411</v>
      </c>
      <c r="J64" s="220">
        <v>23684.411</v>
      </c>
      <c r="K64" s="220">
        <v>23684.411</v>
      </c>
      <c r="L64" s="134">
        <v>23684</v>
      </c>
      <c r="M64" s="179">
        <v>23684</v>
      </c>
      <c r="N64" s="179">
        <v>26236</v>
      </c>
      <c r="O64" s="181">
        <v>26236</v>
      </c>
      <c r="P64" s="181">
        <v>26236</v>
      </c>
    </row>
    <row r="65" spans="1:16" x14ac:dyDescent="0.25">
      <c r="B65" s="276" t="s">
        <v>24</v>
      </c>
      <c r="C65" s="247"/>
      <c r="D65" s="87">
        <v>5000</v>
      </c>
      <c r="E65" s="87">
        <v>5000</v>
      </c>
      <c r="F65" s="87">
        <v>5000</v>
      </c>
      <c r="G65" s="134">
        <v>5000</v>
      </c>
      <c r="H65" s="135">
        <v>5000</v>
      </c>
      <c r="I65" s="220">
        <v>11000</v>
      </c>
      <c r="J65" s="220">
        <v>11000</v>
      </c>
      <c r="K65" s="220">
        <v>19500</v>
      </c>
      <c r="L65" s="134">
        <v>19500</v>
      </c>
      <c r="M65" s="179">
        <v>19500</v>
      </c>
      <c r="N65" s="179">
        <v>19500</v>
      </c>
      <c r="O65" s="181">
        <v>19500</v>
      </c>
      <c r="P65" s="181">
        <v>19500</v>
      </c>
    </row>
    <row r="66" spans="1:16" x14ac:dyDescent="0.25">
      <c r="B66" s="276" t="s">
        <v>25</v>
      </c>
      <c r="C66" s="247"/>
      <c r="D66" s="87">
        <v>0</v>
      </c>
      <c r="E66" s="87">
        <v>7600</v>
      </c>
      <c r="F66" s="87">
        <v>18600</v>
      </c>
      <c r="G66" s="134">
        <v>18600</v>
      </c>
      <c r="H66" s="135">
        <v>18600</v>
      </c>
      <c r="I66" s="220">
        <v>18600</v>
      </c>
      <c r="J66" s="220">
        <v>18600</v>
      </c>
      <c r="K66" s="220">
        <v>18600</v>
      </c>
      <c r="L66" s="134">
        <v>18600</v>
      </c>
      <c r="M66" s="179">
        <v>18600</v>
      </c>
      <c r="N66" s="179">
        <v>18600</v>
      </c>
      <c r="O66" s="181">
        <v>18600</v>
      </c>
      <c r="P66" s="181">
        <v>18600</v>
      </c>
    </row>
    <row r="67" spans="1:16" x14ac:dyDescent="0.25">
      <c r="B67" s="276" t="s">
        <v>29</v>
      </c>
      <c r="C67" s="247"/>
      <c r="D67" s="87">
        <v>49.530999999999999</v>
      </c>
      <c r="E67" s="87">
        <v>55.576000000000001</v>
      </c>
      <c r="F67" s="87">
        <v>-68.617999999999995</v>
      </c>
      <c r="G67" s="134">
        <v>-106.69199999999999</v>
      </c>
      <c r="H67" s="135">
        <v>-182.91900000000001</v>
      </c>
      <c r="I67" s="220">
        <v>-473.392</v>
      </c>
      <c r="J67" s="220">
        <v>-1018.492</v>
      </c>
      <c r="K67" s="220">
        <v>-1048.248</v>
      </c>
      <c r="L67" s="134">
        <v>-963</v>
      </c>
      <c r="M67" s="179">
        <v>251</v>
      </c>
      <c r="N67" s="179">
        <v>-285</v>
      </c>
      <c r="O67" s="181">
        <v>604</v>
      </c>
      <c r="P67" s="181">
        <v>-26</v>
      </c>
    </row>
    <row r="68" spans="1:16" x14ac:dyDescent="0.25">
      <c r="B68" s="276" t="s">
        <v>26</v>
      </c>
      <c r="C68" s="247"/>
      <c r="D68" s="87">
        <v>2610.0819999999999</v>
      </c>
      <c r="E68" s="87">
        <v>7443.9780000000001</v>
      </c>
      <c r="F68" s="87">
        <v>10260.093000000001</v>
      </c>
      <c r="G68" s="134">
        <v>22243.874</v>
      </c>
      <c r="H68" s="135">
        <v>26107.645</v>
      </c>
      <c r="I68" s="220">
        <v>29812.952000000001</v>
      </c>
      <c r="J68" s="220">
        <v>33538.743999999999</v>
      </c>
      <c r="K68" s="220">
        <v>33906.582999999999</v>
      </c>
      <c r="L68" s="134">
        <v>34623</v>
      </c>
      <c r="M68" s="179">
        <v>33204</v>
      </c>
      <c r="N68" s="179">
        <v>38945</v>
      </c>
      <c r="O68" s="181">
        <v>42126</v>
      </c>
      <c r="P68" s="181">
        <v>44208</v>
      </c>
    </row>
    <row r="69" spans="1:16" x14ac:dyDescent="0.25">
      <c r="B69" s="277" t="s">
        <v>168</v>
      </c>
      <c r="C69" s="84"/>
      <c r="D69" s="261">
        <v>0</v>
      </c>
      <c r="E69" s="261">
        <v>0</v>
      </c>
      <c r="F69" s="261">
        <v>0</v>
      </c>
      <c r="G69" s="262">
        <v>0</v>
      </c>
      <c r="H69" s="263">
        <v>0</v>
      </c>
      <c r="I69" s="86">
        <v>0</v>
      </c>
      <c r="J69" s="86">
        <v>0</v>
      </c>
      <c r="K69" s="86">
        <v>0</v>
      </c>
      <c r="L69" s="262">
        <v>0</v>
      </c>
      <c r="M69" s="86">
        <v>0</v>
      </c>
      <c r="N69" s="86">
        <v>30</v>
      </c>
      <c r="O69" s="264">
        <v>31</v>
      </c>
      <c r="P69" s="264">
        <v>32</v>
      </c>
    </row>
    <row r="70" spans="1:16" x14ac:dyDescent="0.25">
      <c r="D70" s="37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5">
      <c r="B71" s="100" t="s">
        <v>27</v>
      </c>
      <c r="C71" s="103"/>
      <c r="D71" s="101">
        <f t="shared" ref="D71:M71" si="22">D63+D64+D65+D66+D67+D68+D69</f>
        <v>34215.000999999997</v>
      </c>
      <c r="E71" s="101">
        <f t="shared" si="22"/>
        <v>50654.942000000003</v>
      </c>
      <c r="F71" s="101">
        <f t="shared" si="22"/>
        <v>64346.862999999998</v>
      </c>
      <c r="G71" s="101">
        <f t="shared" si="22"/>
        <v>76292.354999999996</v>
      </c>
      <c r="H71" s="101">
        <f t="shared" si="22"/>
        <v>80079.899000000005</v>
      </c>
      <c r="I71" s="101">
        <f t="shared" si="22"/>
        <v>100416.711</v>
      </c>
      <c r="J71" s="101">
        <f t="shared" si="22"/>
        <v>103597.40299999999</v>
      </c>
      <c r="K71" s="101">
        <f t="shared" si="22"/>
        <v>112435.48599999999</v>
      </c>
      <c r="L71" s="101">
        <f t="shared" si="22"/>
        <v>113237</v>
      </c>
      <c r="M71" s="101">
        <f t="shared" si="22"/>
        <v>113032</v>
      </c>
      <c r="N71" s="101">
        <f>N63+N64+N65+N66+N67+N68+N69</f>
        <v>122268</v>
      </c>
      <c r="O71" s="101">
        <f>O63+O64+O65+O66+O67+O68+O69</f>
        <v>126339</v>
      </c>
      <c r="P71" s="101">
        <f>P63+P64+P65+P66+P67+P68+P69</f>
        <v>127792</v>
      </c>
    </row>
    <row r="72" spans="1:16" x14ac:dyDescent="0.25"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B73" s="100" t="s">
        <v>28</v>
      </c>
      <c r="C73" s="100"/>
      <c r="D73" s="101">
        <v>216765.266</v>
      </c>
      <c r="E73" s="102">
        <v>288249.71000000002</v>
      </c>
      <c r="F73" s="102">
        <v>357001.32299999997</v>
      </c>
      <c r="G73" s="102">
        <v>480116.8789999999</v>
      </c>
      <c r="H73" s="102">
        <v>486662.99100000004</v>
      </c>
      <c r="I73" s="102">
        <v>483529.26699999993</v>
      </c>
      <c r="J73" s="102">
        <v>554957.96299999999</v>
      </c>
      <c r="K73" s="102">
        <v>602464.23100000003</v>
      </c>
      <c r="L73" s="102">
        <v>627881</v>
      </c>
      <c r="M73" s="102">
        <v>752490</v>
      </c>
      <c r="N73" s="102">
        <f>N71+N60</f>
        <v>789147</v>
      </c>
      <c r="O73" s="102">
        <f>O71+O60</f>
        <v>754498</v>
      </c>
      <c r="P73" s="102">
        <f>P71+P60</f>
        <v>767212</v>
      </c>
    </row>
    <row r="74" spans="1:16" x14ac:dyDescent="0.25"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</row>
    <row r="75" spans="1:16" x14ac:dyDescent="0.25">
      <c r="B75" s="77" t="s">
        <v>96</v>
      </c>
      <c r="C75" s="78"/>
      <c r="D75" s="79">
        <v>2020</v>
      </c>
      <c r="E75" s="79">
        <v>2021</v>
      </c>
      <c r="F75" s="79">
        <v>2022</v>
      </c>
      <c r="G75" s="79">
        <v>2023</v>
      </c>
      <c r="H75" s="601">
        <v>2024</v>
      </c>
      <c r="I75" s="602"/>
      <c r="J75" s="602"/>
      <c r="K75" s="602"/>
      <c r="L75" s="605">
        <v>2025</v>
      </c>
      <c r="M75" s="606"/>
      <c r="N75" s="606"/>
      <c r="O75" s="606"/>
      <c r="P75" s="570">
        <v>2026</v>
      </c>
    </row>
    <row r="76" spans="1:16" x14ac:dyDescent="0.25">
      <c r="B76" s="76"/>
      <c r="C76" s="76"/>
      <c r="D76" s="48"/>
      <c r="E76" s="48"/>
      <c r="F76" s="48"/>
      <c r="G76" s="48"/>
      <c r="H76" s="49" t="s">
        <v>1</v>
      </c>
      <c r="I76" s="49" t="s">
        <v>93</v>
      </c>
      <c r="J76" s="49" t="s">
        <v>94</v>
      </c>
      <c r="K76" s="49" t="s">
        <v>95</v>
      </c>
      <c r="L76" s="199" t="s">
        <v>154</v>
      </c>
      <c r="M76" s="43" t="s">
        <v>93</v>
      </c>
      <c r="N76" s="43" t="s">
        <v>94</v>
      </c>
      <c r="O76" s="43" t="s">
        <v>95</v>
      </c>
      <c r="P76" s="571" t="s">
        <v>154</v>
      </c>
    </row>
    <row r="77" spans="1:16" x14ac:dyDescent="0.25">
      <c r="K77"/>
    </row>
    <row r="78" spans="1:16" s="1" customFormat="1" x14ac:dyDescent="0.25">
      <c r="A78" s="144"/>
      <c r="B78" s="269" t="s">
        <v>110</v>
      </c>
      <c r="C78" s="270"/>
      <c r="D78" s="271">
        <v>0.13125999999999999</v>
      </c>
      <c r="E78" s="271">
        <v>0.12542</v>
      </c>
      <c r="F78" s="572">
        <v>0.16</v>
      </c>
      <c r="G78" s="272">
        <v>0.1007</v>
      </c>
      <c r="H78" s="273">
        <v>9.3950000000000006E-2</v>
      </c>
      <c r="I78" s="274">
        <v>0.10407</v>
      </c>
      <c r="J78" s="274">
        <v>9.4789999999999999E-2</v>
      </c>
      <c r="K78" s="274">
        <v>0.10466</v>
      </c>
      <c r="L78" s="272">
        <v>0.10478999999999999</v>
      </c>
      <c r="M78" s="274">
        <v>0.10983</v>
      </c>
      <c r="N78" s="274">
        <v>0.113388695761466</v>
      </c>
      <c r="O78" s="275">
        <v>0.12143</v>
      </c>
      <c r="P78" s="275">
        <v>0.12272</v>
      </c>
    </row>
    <row r="79" spans="1:16" s="1" customFormat="1" x14ac:dyDescent="0.25">
      <c r="A79" s="144"/>
      <c r="B79" s="276" t="s">
        <v>111</v>
      </c>
      <c r="C79" s="247"/>
      <c r="D79" s="88">
        <v>8.2189999999999999E-2</v>
      </c>
      <c r="E79" s="88">
        <v>9.468E-2</v>
      </c>
      <c r="F79" s="573">
        <v>0.13</v>
      </c>
      <c r="G79" s="136">
        <v>7.4819999999999998E-2</v>
      </c>
      <c r="H79" s="138">
        <v>7.6039999999999996E-2</v>
      </c>
      <c r="I79" s="99">
        <v>8.5739999999999997E-2</v>
      </c>
      <c r="J79" s="137">
        <v>7.7490000000000003E-2</v>
      </c>
      <c r="K79" s="137">
        <v>7.3169999999999999E-2</v>
      </c>
      <c r="L79" s="136">
        <v>7.8729999999999994E-2</v>
      </c>
      <c r="M79" s="137">
        <v>8.1869999999999998E-2</v>
      </c>
      <c r="N79" s="137">
        <v>8.2630803022217703E-2</v>
      </c>
      <c r="O79" s="158">
        <v>8.6569999999999994E-2</v>
      </c>
      <c r="P79" s="158">
        <v>9.1950000000000004E-2</v>
      </c>
    </row>
    <row r="80" spans="1:16" s="1" customFormat="1" x14ac:dyDescent="0.25">
      <c r="A80" s="144"/>
      <c r="B80" s="277" t="s">
        <v>112</v>
      </c>
      <c r="C80" s="84"/>
      <c r="D80" s="278">
        <v>9.9519999999999997E-2</v>
      </c>
      <c r="E80" s="278">
        <v>0.10627</v>
      </c>
      <c r="F80" s="574">
        <v>0.14000000000000001</v>
      </c>
      <c r="G80" s="279">
        <v>8.2059999999999994E-2</v>
      </c>
      <c r="H80" s="280">
        <v>8.2610000000000003E-2</v>
      </c>
      <c r="I80" s="281">
        <v>9.1899999999999996E-2</v>
      </c>
      <c r="J80" s="281">
        <v>8.3089999999999997E-2</v>
      </c>
      <c r="K80" s="281">
        <v>9.3810000000000004E-2</v>
      </c>
      <c r="L80" s="279">
        <v>9.9589999999999998E-2</v>
      </c>
      <c r="M80" s="281">
        <v>0.10332</v>
      </c>
      <c r="N80" s="281">
        <v>0.104064830228632</v>
      </c>
      <c r="O80" s="282">
        <v>0.10915999999999999</v>
      </c>
      <c r="P80" s="282">
        <v>0.11475</v>
      </c>
    </row>
    <row r="81" spans="2:16" x14ac:dyDescent="0.25">
      <c r="K81"/>
      <c r="P81" s="233"/>
    </row>
    <row r="82" spans="2:16" ht="31.5" x14ac:dyDescent="0.25">
      <c r="B82" s="317" t="s">
        <v>133</v>
      </c>
      <c r="C82" s="270"/>
      <c r="D82" s="318">
        <v>194459.93745899</v>
      </c>
      <c r="E82" s="319">
        <v>274051.53626394994</v>
      </c>
      <c r="F82" s="319">
        <v>323770.64527913003</v>
      </c>
      <c r="G82" s="319">
        <v>455972.58947836998</v>
      </c>
      <c r="H82" s="319">
        <v>464284.82523795002</v>
      </c>
      <c r="I82" s="320">
        <v>468413.63771494001</v>
      </c>
      <c r="J82" s="320">
        <v>519224.68798442994</v>
      </c>
      <c r="K82" s="320">
        <v>578913.49754701997</v>
      </c>
      <c r="L82" s="319">
        <v>614735.32195724</v>
      </c>
      <c r="M82" s="320">
        <v>725577.91572341998</v>
      </c>
      <c r="N82" s="320">
        <v>746769.64808073989</v>
      </c>
      <c r="O82" s="321">
        <f>SUM(O83:O87)</f>
        <v>704903.41804711998</v>
      </c>
      <c r="P82" s="321">
        <f>SUM(P83:P87)</f>
        <v>727177.78602613998</v>
      </c>
    </row>
    <row r="83" spans="2:16" x14ac:dyDescent="0.25">
      <c r="B83" s="322" t="s">
        <v>140</v>
      </c>
      <c r="C83" s="323"/>
      <c r="D83" s="148">
        <v>117603.898</v>
      </c>
      <c r="E83" s="149">
        <v>205613.13299999997</v>
      </c>
      <c r="F83" s="149">
        <v>255766.99600000001</v>
      </c>
      <c r="G83" s="149">
        <v>339116.73499999999</v>
      </c>
      <c r="H83" s="149">
        <v>359281.16399999999</v>
      </c>
      <c r="I83" s="224">
        <v>378118.37</v>
      </c>
      <c r="J83" s="224">
        <v>401121.31299999997</v>
      </c>
      <c r="K83" s="224">
        <v>382397.44799999997</v>
      </c>
      <c r="L83" s="149">
        <v>371960</v>
      </c>
      <c r="M83" s="224">
        <v>361915</v>
      </c>
      <c r="N83" s="224">
        <v>345008</v>
      </c>
      <c r="O83" s="150">
        <f>SUM(O20:O22)</f>
        <v>340424</v>
      </c>
      <c r="P83" s="150">
        <f>SUM(P20:P22)</f>
        <v>325673</v>
      </c>
    </row>
    <row r="84" spans="2:16" x14ac:dyDescent="0.25">
      <c r="B84" s="322" t="s">
        <v>141</v>
      </c>
      <c r="C84" s="323"/>
      <c r="D84" s="148">
        <v>30290.327000000001</v>
      </c>
      <c r="E84" s="149">
        <v>34758.521999999997</v>
      </c>
      <c r="F84" s="149">
        <v>23098.91</v>
      </c>
      <c r="G84" s="149">
        <v>50476.173000000003</v>
      </c>
      <c r="H84" s="149">
        <v>48736.21</v>
      </c>
      <c r="I84" s="224">
        <v>40491.716999999997</v>
      </c>
      <c r="J84" s="224">
        <v>48665.409</v>
      </c>
      <c r="K84" s="224">
        <v>52491.254000000001</v>
      </c>
      <c r="L84" s="149">
        <v>53462</v>
      </c>
      <c r="M84" s="224">
        <v>52371</v>
      </c>
      <c r="N84" s="224">
        <v>46634</v>
      </c>
      <c r="O84" s="150">
        <f>O23</f>
        <v>42224</v>
      </c>
      <c r="P84" s="150">
        <f>P23</f>
        <v>43972</v>
      </c>
    </row>
    <row r="85" spans="2:16" x14ac:dyDescent="0.25">
      <c r="B85" s="322" t="s">
        <v>144</v>
      </c>
      <c r="C85" s="323"/>
      <c r="D85" s="148">
        <v>31411.452458990007</v>
      </c>
      <c r="E85" s="149">
        <v>33660.305263949995</v>
      </c>
      <c r="F85" s="149">
        <v>25896.877279129985</v>
      </c>
      <c r="G85" s="149">
        <v>29648.087478370006</v>
      </c>
      <c r="H85" s="149">
        <v>37172.833237950006</v>
      </c>
      <c r="I85" s="224">
        <v>48441.112714940005</v>
      </c>
      <c r="J85" s="224">
        <v>66934.42598443001</v>
      </c>
      <c r="K85" s="224">
        <v>78785.368547020029</v>
      </c>
      <c r="L85" s="149">
        <v>124742.32195724001</v>
      </c>
      <c r="M85" s="224">
        <v>282773.91572341998</v>
      </c>
      <c r="N85" s="224">
        <v>296242.64808073995</v>
      </c>
      <c r="O85" s="150">
        <v>301495.41804711998</v>
      </c>
      <c r="P85" s="150">
        <v>270949.78602613998</v>
      </c>
    </row>
    <row r="86" spans="2:16" x14ac:dyDescent="0.25">
      <c r="B86" s="322" t="s">
        <v>137</v>
      </c>
      <c r="C86" s="323"/>
      <c r="D86" s="148">
        <v>47.3</v>
      </c>
      <c r="E86" s="149">
        <v>19.576000000000001</v>
      </c>
      <c r="F86" s="149">
        <v>19007.862000000001</v>
      </c>
      <c r="G86" s="149">
        <v>36731.593999999997</v>
      </c>
      <c r="H86" s="149">
        <v>16001.146000000001</v>
      </c>
      <c r="I86" s="224">
        <v>157.58000000000001</v>
      </c>
      <c r="J86" s="224">
        <v>431.66500000000002</v>
      </c>
      <c r="K86" s="224">
        <v>5860.7579999999998</v>
      </c>
      <c r="L86" s="149">
        <v>227</v>
      </c>
      <c r="M86" s="224">
        <v>3305</v>
      </c>
      <c r="N86" s="224">
        <v>1700</v>
      </c>
      <c r="O86" s="150">
        <v>530</v>
      </c>
      <c r="P86" s="150">
        <v>60821</v>
      </c>
    </row>
    <row r="87" spans="2:16" ht="31.5" x14ac:dyDescent="0.25">
      <c r="B87" s="324" t="s">
        <v>33</v>
      </c>
      <c r="C87" s="323"/>
      <c r="D87" s="148">
        <v>15106.96</v>
      </c>
      <c r="E87" s="149">
        <v>0</v>
      </c>
      <c r="F87" s="149">
        <v>0</v>
      </c>
      <c r="G87" s="149">
        <v>0</v>
      </c>
      <c r="H87" s="149">
        <v>3093.4720000000002</v>
      </c>
      <c r="I87" s="224">
        <v>1204.8579999999999</v>
      </c>
      <c r="J87" s="224">
        <v>2071.875</v>
      </c>
      <c r="K87" s="224">
        <v>59378.669000000002</v>
      </c>
      <c r="L87" s="149">
        <v>64344</v>
      </c>
      <c r="M87" s="224">
        <v>25213</v>
      </c>
      <c r="N87" s="224">
        <f>N10</f>
        <v>57185</v>
      </c>
      <c r="O87" s="150">
        <f>O10</f>
        <v>20230</v>
      </c>
      <c r="P87" s="150">
        <f>P10</f>
        <v>25762</v>
      </c>
    </row>
    <row r="88" spans="2:16" x14ac:dyDescent="0.25">
      <c r="B88" s="325" t="s">
        <v>134</v>
      </c>
      <c r="C88" s="247"/>
      <c r="D88" s="151">
        <f t="shared" ref="D88:K88" si="23">SUM(D89:D95)</f>
        <v>175254.87099999998</v>
      </c>
      <c r="E88" s="152">
        <f t="shared" si="23"/>
        <v>225498.72400000005</v>
      </c>
      <c r="F88" s="152">
        <f t="shared" si="23"/>
        <v>276766.42499999999</v>
      </c>
      <c r="G88" s="152">
        <f t="shared" si="23"/>
        <v>377381.46499999991</v>
      </c>
      <c r="H88" s="152">
        <f t="shared" si="23"/>
        <v>383559.84399999998</v>
      </c>
      <c r="I88" s="223">
        <f t="shared" si="23"/>
        <v>361460.05099999998</v>
      </c>
      <c r="J88" s="223">
        <f t="shared" si="23"/>
        <v>432013.91700000002</v>
      </c>
      <c r="K88" s="223">
        <f t="shared" si="23"/>
        <v>471497.48800000001</v>
      </c>
      <c r="L88" s="152">
        <f t="shared" ref="L88" si="24">SUM(L89:L95)</f>
        <v>499275</v>
      </c>
      <c r="M88" s="223">
        <f>SUM(M89:M95)</f>
        <v>619135.2883283</v>
      </c>
      <c r="N88" s="223">
        <f>SUM(N89:N95)</f>
        <v>647449</v>
      </c>
      <c r="O88" s="153">
        <f>SUM(O89:O95)</f>
        <v>599195</v>
      </c>
      <c r="P88" s="153">
        <f>SUM(P89:P95)</f>
        <v>615092</v>
      </c>
    </row>
    <row r="89" spans="2:16" x14ac:dyDescent="0.25">
      <c r="B89" s="322" t="s">
        <v>142</v>
      </c>
      <c r="C89" s="323"/>
      <c r="D89" s="148">
        <v>108041.859</v>
      </c>
      <c r="E89" s="149">
        <v>158198.228</v>
      </c>
      <c r="F89" s="149">
        <v>180974.67300000001</v>
      </c>
      <c r="G89" s="149">
        <v>269835.50699999998</v>
      </c>
      <c r="H89" s="149">
        <v>292224.45799999998</v>
      </c>
      <c r="I89" s="224">
        <v>272904.93799999997</v>
      </c>
      <c r="J89" s="224">
        <v>302387.848</v>
      </c>
      <c r="K89" s="224">
        <v>292959.97899999999</v>
      </c>
      <c r="L89" s="149">
        <v>316729</v>
      </c>
      <c r="M89" s="224">
        <v>372789</v>
      </c>
      <c r="N89" s="224">
        <f t="shared" ref="N89:P90" si="25">N49+N52</f>
        <v>379105</v>
      </c>
      <c r="O89" s="150">
        <f t="shared" si="25"/>
        <v>400176</v>
      </c>
      <c r="P89" s="150">
        <f t="shared" si="25"/>
        <v>362229</v>
      </c>
    </row>
    <row r="90" spans="2:16" x14ac:dyDescent="0.25">
      <c r="B90" s="322" t="s">
        <v>143</v>
      </c>
      <c r="C90" s="323"/>
      <c r="D90" s="148">
        <v>41697.380000000005</v>
      </c>
      <c r="E90" s="149">
        <v>41970.063999999998</v>
      </c>
      <c r="F90" s="149">
        <v>76495.718999999997</v>
      </c>
      <c r="G90" s="149">
        <v>62215.403000000006</v>
      </c>
      <c r="H90" s="149">
        <v>55021.301999999996</v>
      </c>
      <c r="I90" s="224">
        <v>59630.509999999995</v>
      </c>
      <c r="J90" s="224">
        <v>75294.733000000007</v>
      </c>
      <c r="K90" s="224">
        <v>66621.785000000003</v>
      </c>
      <c r="L90" s="149">
        <v>54678</v>
      </c>
      <c r="M90" s="224">
        <v>77435</v>
      </c>
      <c r="N90" s="224">
        <f t="shared" si="25"/>
        <v>84134</v>
      </c>
      <c r="O90" s="150">
        <f t="shared" si="25"/>
        <v>89314</v>
      </c>
      <c r="P90" s="150">
        <f t="shared" si="25"/>
        <v>91209</v>
      </c>
    </row>
    <row r="91" spans="2:16" x14ac:dyDescent="0.25">
      <c r="B91" s="322" t="s">
        <v>39</v>
      </c>
      <c r="C91" s="323"/>
      <c r="D91" s="148">
        <v>20540.078000000001</v>
      </c>
      <c r="E91" s="149">
        <v>9332.6710000000003</v>
      </c>
      <c r="F91" s="149">
        <v>4001.297</v>
      </c>
      <c r="G91" s="149">
        <v>11961.502</v>
      </c>
      <c r="H91" s="149">
        <v>5005.0770000000002</v>
      </c>
      <c r="I91" s="224">
        <v>7005.8950000000004</v>
      </c>
      <c r="J91" s="224">
        <v>20609.013999999999</v>
      </c>
      <c r="K91" s="224">
        <v>61303.71</v>
      </c>
      <c r="L91" s="149">
        <v>72897</v>
      </c>
      <c r="M91" s="224">
        <v>41355</v>
      </c>
      <c r="N91" s="224">
        <f t="shared" ref="N91:P92" si="26">N42</f>
        <v>90795</v>
      </c>
      <c r="O91" s="150">
        <f t="shared" si="26"/>
        <v>57260</v>
      </c>
      <c r="P91" s="150">
        <f t="shared" si="26"/>
        <v>80278</v>
      </c>
    </row>
    <row r="92" spans="2:16" x14ac:dyDescent="0.25">
      <c r="B92" s="322" t="s">
        <v>40</v>
      </c>
      <c r="C92" s="323"/>
      <c r="D92" s="148">
        <v>2549.6289999999999</v>
      </c>
      <c r="E92" s="149">
        <v>9473.6</v>
      </c>
      <c r="F92" s="149">
        <v>1894.258</v>
      </c>
      <c r="G92" s="149">
        <v>14231.120999999999</v>
      </c>
      <c r="H92" s="149">
        <v>12629.73</v>
      </c>
      <c r="I92" s="224">
        <v>3226.4459999999999</v>
      </c>
      <c r="J92" s="224">
        <v>15040.63</v>
      </c>
      <c r="K92" s="224">
        <v>31889.038</v>
      </c>
      <c r="L92" s="149">
        <v>35783</v>
      </c>
      <c r="M92" s="224">
        <v>30080</v>
      </c>
      <c r="N92" s="224">
        <f t="shared" si="26"/>
        <v>36149</v>
      </c>
      <c r="O92" s="150">
        <f t="shared" si="26"/>
        <v>37375</v>
      </c>
      <c r="P92" s="150">
        <f t="shared" si="26"/>
        <v>66022</v>
      </c>
    </row>
    <row r="93" spans="2:16" x14ac:dyDescent="0.25">
      <c r="B93" s="322" t="s">
        <v>15</v>
      </c>
      <c r="C93" s="323"/>
      <c r="D93" s="148">
        <v>1839.8130000000001</v>
      </c>
      <c r="E93" s="149">
        <v>5581.0259999999998</v>
      </c>
      <c r="F93" s="149">
        <v>12513.269</v>
      </c>
      <c r="G93" s="149">
        <v>18186.915000000001</v>
      </c>
      <c r="H93" s="149">
        <v>17739.651000000002</v>
      </c>
      <c r="I93" s="224">
        <v>17749.887999999999</v>
      </c>
      <c r="J93" s="224">
        <v>17782.548999999999</v>
      </c>
      <c r="K93" s="224">
        <v>17848.204000000002</v>
      </c>
      <c r="L93" s="149">
        <v>18371</v>
      </c>
      <c r="M93" s="224">
        <v>26553</v>
      </c>
      <c r="N93" s="224">
        <f>N54</f>
        <v>19385</v>
      </c>
      <c r="O93" s="150">
        <f>O54</f>
        <v>14185</v>
      </c>
      <c r="P93" s="150">
        <f>P54</f>
        <v>14195</v>
      </c>
    </row>
    <row r="94" spans="2:16" x14ac:dyDescent="0.25">
      <c r="B94" s="322" t="s">
        <v>17</v>
      </c>
      <c r="C94" s="323"/>
      <c r="D94" s="148">
        <v>586.11199999999997</v>
      </c>
      <c r="E94" s="149">
        <v>943.13499999999999</v>
      </c>
      <c r="F94" s="149">
        <v>887.20899999999995</v>
      </c>
      <c r="G94" s="149">
        <v>951.01700000000005</v>
      </c>
      <c r="H94" s="149">
        <v>939.62599999999998</v>
      </c>
      <c r="I94" s="224">
        <v>942.37400000000002</v>
      </c>
      <c r="J94" s="224">
        <v>899.14300000000003</v>
      </c>
      <c r="K94" s="224">
        <v>874.77200000000005</v>
      </c>
      <c r="L94" s="149">
        <v>817</v>
      </c>
      <c r="M94" s="224">
        <v>903</v>
      </c>
      <c r="N94" s="224">
        <f>N56</f>
        <v>858</v>
      </c>
      <c r="O94" s="150">
        <f>O56</f>
        <v>885</v>
      </c>
      <c r="P94" s="150">
        <f>P56</f>
        <v>1159</v>
      </c>
    </row>
    <row r="95" spans="2:16" x14ac:dyDescent="0.25">
      <c r="B95" s="326" t="s">
        <v>19</v>
      </c>
      <c r="C95" s="327"/>
      <c r="D95" s="328">
        <v>0</v>
      </c>
      <c r="E95" s="329">
        <v>0</v>
      </c>
      <c r="F95" s="329">
        <v>0</v>
      </c>
      <c r="G95" s="329">
        <v>0</v>
      </c>
      <c r="H95" s="329">
        <v>0</v>
      </c>
      <c r="I95" s="330">
        <v>0</v>
      </c>
      <c r="J95" s="330">
        <v>0</v>
      </c>
      <c r="K95" s="330">
        <v>0</v>
      </c>
      <c r="L95" s="329">
        <v>0</v>
      </c>
      <c r="M95" s="330">
        <v>70020.288328299997</v>
      </c>
      <c r="N95" s="330">
        <v>37023</v>
      </c>
      <c r="O95" s="331">
        <v>0</v>
      </c>
      <c r="P95" s="331">
        <v>0</v>
      </c>
    </row>
    <row r="96" spans="2:16" x14ac:dyDescent="0.25"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</row>
    <row r="97" spans="4:16" x14ac:dyDescent="0.25"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</row>
    <row r="98" spans="4:16" x14ac:dyDescent="0.25"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</row>
    <row r="99" spans="4:16" x14ac:dyDescent="0.25"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</row>
    <row r="100" spans="4:16" x14ac:dyDescent="0.25"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</row>
  </sheetData>
  <mergeCells count="4">
    <mergeCell ref="H2:K2"/>
    <mergeCell ref="H75:K75"/>
    <mergeCell ref="L2:O2"/>
    <mergeCell ref="L75:O7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47C9-5EB1-7645-AA83-F48A6A0A694D}">
  <sheetPr>
    <tabColor theme="9" tint="0.59999389629810485"/>
    <outlinePr summaryBelow="0"/>
  </sheetPr>
  <dimension ref="A1:AH138"/>
  <sheetViews>
    <sheetView showGridLines="0" zoomScale="80" zoomScaleNormal="80" workbookViewId="0">
      <pane xSplit="3" ySplit="3" topLeftCell="D4" activePane="bottomRight" state="frozen"/>
      <selection activeCell="L1" sqref="L1:O1048576"/>
      <selection pane="topRight" activeCell="L1" sqref="L1:O1048576"/>
      <selection pane="bottomLeft" activeCell="L1" sqref="L1:O1048576"/>
      <selection pane="bottomRight" activeCell="K77" sqref="K77"/>
    </sheetView>
  </sheetViews>
  <sheetFormatPr defaultColWidth="11" defaultRowHeight="15.75" outlineLevelRow="1" x14ac:dyDescent="0.25"/>
  <cols>
    <col min="1" max="1" width="2" customWidth="1"/>
    <col min="2" max="2" width="71.125" style="8" customWidth="1"/>
    <col min="3" max="3" width="4.25" style="8" customWidth="1"/>
    <col min="4" max="4" width="13.875" style="144" customWidth="1"/>
    <col min="5" max="5" width="14.625" style="144" customWidth="1"/>
    <col min="6" max="7" width="12.375" style="144" customWidth="1"/>
    <col min="8" max="8" width="13.125" style="144" customWidth="1"/>
    <col min="9" max="9" width="12" style="144" customWidth="1"/>
    <col min="10" max="10" width="14.125" style="144" customWidth="1"/>
    <col min="11" max="11" width="14" style="144" customWidth="1"/>
    <col min="12" max="12" width="14.25" style="144" customWidth="1"/>
    <col min="13" max="13" width="13.25" style="144" customWidth="1"/>
    <col min="14" max="15" width="9.875" style="144" bestFit="1" customWidth="1"/>
    <col min="16" max="17" width="10.125" style="144" customWidth="1"/>
    <col min="18" max="18" width="9.875" style="144" bestFit="1" customWidth="1"/>
  </cols>
  <sheetData>
    <row r="1" spans="1:26" x14ac:dyDescent="0.25">
      <c r="A1" s="182"/>
      <c r="B1" s="50"/>
      <c r="C1" s="50"/>
      <c r="D1" s="52"/>
      <c r="E1" s="52"/>
      <c r="F1" s="53"/>
      <c r="G1" s="51"/>
      <c r="H1" s="51"/>
      <c r="I1" s="54"/>
      <c r="J1" s="40"/>
      <c r="K1" s="41"/>
      <c r="L1" s="41"/>
      <c r="M1" s="41"/>
      <c r="N1" s="196"/>
      <c r="O1" s="197"/>
      <c r="P1" s="197"/>
      <c r="Q1" s="198"/>
      <c r="R1" s="575"/>
    </row>
    <row r="2" spans="1:26" x14ac:dyDescent="0.25">
      <c r="A2" s="182"/>
      <c r="B2" s="183"/>
      <c r="C2" s="183"/>
      <c r="D2" s="44">
        <v>2021</v>
      </c>
      <c r="E2" s="44">
        <v>2022</v>
      </c>
      <c r="F2" s="607">
        <v>2023</v>
      </c>
      <c r="G2" s="608"/>
      <c r="H2" s="608"/>
      <c r="I2" s="609"/>
      <c r="J2" s="603">
        <v>2024</v>
      </c>
      <c r="K2" s="610"/>
      <c r="L2" s="610"/>
      <c r="M2" s="610"/>
      <c r="N2" s="603">
        <v>2025</v>
      </c>
      <c r="O2" s="610"/>
      <c r="P2" s="610"/>
      <c r="Q2" s="604"/>
      <c r="R2" s="44">
        <v>2026</v>
      </c>
    </row>
    <row r="3" spans="1:26" x14ac:dyDescent="0.25">
      <c r="A3" s="139" t="s">
        <v>131</v>
      </c>
      <c r="B3" s="74"/>
      <c r="C3" s="74"/>
      <c r="D3" s="55"/>
      <c r="E3" s="55"/>
      <c r="F3" s="42" t="s">
        <v>1</v>
      </c>
      <c r="G3" s="43" t="s">
        <v>93</v>
      </c>
      <c r="H3" s="43" t="s">
        <v>94</v>
      </c>
      <c r="I3" s="56" t="s">
        <v>95</v>
      </c>
      <c r="J3" s="42" t="s">
        <v>1</v>
      </c>
      <c r="K3" s="43" t="s">
        <v>93</v>
      </c>
      <c r="L3" s="43" t="s">
        <v>94</v>
      </c>
      <c r="M3" s="43" t="s">
        <v>95</v>
      </c>
      <c r="N3" s="199" t="s">
        <v>154</v>
      </c>
      <c r="O3" s="43" t="s">
        <v>93</v>
      </c>
      <c r="P3" s="43" t="s">
        <v>94</v>
      </c>
      <c r="Q3" s="56" t="s">
        <v>95</v>
      </c>
      <c r="R3" s="576" t="s">
        <v>154</v>
      </c>
    </row>
    <row r="5" spans="1:26" s="2" customFormat="1" x14ac:dyDescent="0.25">
      <c r="B5" s="350" t="s">
        <v>48</v>
      </c>
      <c r="C5" s="89"/>
      <c r="D5" s="90">
        <f t="shared" ref="D5:I5" si="0">D6+D8+D9+D7+D10</f>
        <v>27357.232273750004</v>
      </c>
      <c r="E5" s="90">
        <f t="shared" si="0"/>
        <v>43012.351472760005</v>
      </c>
      <c r="F5" s="90">
        <f t="shared" si="0"/>
        <v>12534.979000000001</v>
      </c>
      <c r="G5" s="91">
        <f t="shared" si="0"/>
        <v>26051.124999999996</v>
      </c>
      <c r="H5" s="91">
        <f t="shared" si="0"/>
        <v>39924.593000000001</v>
      </c>
      <c r="I5" s="91">
        <f t="shared" si="0"/>
        <v>57539.118000000002</v>
      </c>
      <c r="J5" s="90">
        <v>20231.573999999997</v>
      </c>
      <c r="K5" s="91">
        <v>42183.561000000002</v>
      </c>
      <c r="L5" s="91">
        <v>65518</v>
      </c>
      <c r="M5" s="91">
        <v>91228.094999999987</v>
      </c>
      <c r="N5" s="90">
        <f>N6+N8+N9+N7+N10</f>
        <v>27581</v>
      </c>
      <c r="O5" s="91">
        <f>O6+O8+O9+O7+O10</f>
        <v>62581</v>
      </c>
      <c r="P5" s="91">
        <f>P6+P8+P9+P7+P10</f>
        <v>99055</v>
      </c>
      <c r="Q5" s="184">
        <f>Q6+Q8+Q9+Q7+Q10</f>
        <v>136126</v>
      </c>
      <c r="R5" s="184">
        <f>R6+R8+R9+R7+R10</f>
        <v>34458</v>
      </c>
      <c r="S5" s="242"/>
      <c r="T5" s="242"/>
      <c r="U5" s="242"/>
      <c r="V5" s="242"/>
      <c r="W5" s="242"/>
      <c r="X5" s="242"/>
      <c r="Y5" s="242"/>
      <c r="Z5" s="242"/>
    </row>
    <row r="6" spans="1:26" s="2" customFormat="1" outlineLevel="1" x14ac:dyDescent="0.25">
      <c r="B6" s="351" t="s">
        <v>3</v>
      </c>
      <c r="C6" s="352"/>
      <c r="D6" s="57">
        <v>25582.901000000002</v>
      </c>
      <c r="E6" s="57">
        <v>39894.932000000001</v>
      </c>
      <c r="F6" s="57">
        <v>11634.341</v>
      </c>
      <c r="G6" s="225">
        <v>24253.919999999998</v>
      </c>
      <c r="H6" s="225">
        <v>37316.19</v>
      </c>
      <c r="I6" s="225">
        <v>53891.317000000003</v>
      </c>
      <c r="J6" s="57">
        <v>18639.761999999999</v>
      </c>
      <c r="K6" s="225">
        <v>38475.542000000001</v>
      </c>
      <c r="L6" s="225">
        <v>59503</v>
      </c>
      <c r="M6" s="225">
        <v>81317.217999999993</v>
      </c>
      <c r="N6" s="57">
        <v>21423</v>
      </c>
      <c r="O6" s="549">
        <v>43177</v>
      </c>
      <c r="P6" s="549">
        <v>64064</v>
      </c>
      <c r="Q6" s="185">
        <v>84986</v>
      </c>
      <c r="R6" s="393">
        <v>19768</v>
      </c>
      <c r="S6" s="242"/>
      <c r="T6" s="242"/>
      <c r="U6" s="242"/>
      <c r="V6" s="242"/>
      <c r="W6" s="242"/>
      <c r="X6" s="242"/>
      <c r="Y6" s="242"/>
      <c r="Z6" s="242"/>
    </row>
    <row r="7" spans="1:26" s="2" customFormat="1" ht="18" customHeight="1" outlineLevel="1" x14ac:dyDescent="0.25">
      <c r="B7" s="353" t="s">
        <v>67</v>
      </c>
      <c r="C7" s="354"/>
      <c r="D7" s="57">
        <v>693.50227375000009</v>
      </c>
      <c r="E7" s="57">
        <v>445.48847276000004</v>
      </c>
      <c r="F7" s="57">
        <v>48.012999999999998</v>
      </c>
      <c r="G7" s="225">
        <v>93.301000000000002</v>
      </c>
      <c r="H7" s="225">
        <v>131.16900000000001</v>
      </c>
      <c r="I7" s="225">
        <v>159.76</v>
      </c>
      <c r="J7" s="57">
        <v>24.96</v>
      </c>
      <c r="K7" s="225">
        <v>46.890999999999998</v>
      </c>
      <c r="L7" s="225">
        <v>63</v>
      </c>
      <c r="M7" s="225">
        <v>79.897999999999996</v>
      </c>
      <c r="N7" s="57">
        <v>750</v>
      </c>
      <c r="O7" s="549">
        <v>8044</v>
      </c>
      <c r="P7" s="549">
        <v>17971</v>
      </c>
      <c r="Q7" s="185">
        <v>28195</v>
      </c>
      <c r="R7" s="393">
        <v>8876</v>
      </c>
      <c r="S7" s="242"/>
      <c r="T7" s="242"/>
      <c r="U7" s="242"/>
      <c r="V7" s="242"/>
      <c r="W7" s="242"/>
      <c r="X7" s="242"/>
      <c r="Y7" s="242"/>
      <c r="Z7" s="242"/>
    </row>
    <row r="8" spans="1:26" s="2" customFormat="1" ht="17.100000000000001" customHeight="1" outlineLevel="1" x14ac:dyDescent="0.25">
      <c r="B8" s="353" t="s">
        <v>66</v>
      </c>
      <c r="C8" s="354"/>
      <c r="D8" s="57">
        <v>0</v>
      </c>
      <c r="E8" s="57">
        <v>1663.3620000000001</v>
      </c>
      <c r="F8" s="57">
        <v>440.33199999999999</v>
      </c>
      <c r="G8" s="225">
        <v>864.06399999999996</v>
      </c>
      <c r="H8" s="225">
        <v>1373.69</v>
      </c>
      <c r="I8" s="225">
        <v>2062.5520000000001</v>
      </c>
      <c r="J8" s="57">
        <v>897.88800000000003</v>
      </c>
      <c r="K8" s="225">
        <v>2383.8339999999998</v>
      </c>
      <c r="L8" s="225">
        <v>4556</v>
      </c>
      <c r="M8" s="225">
        <v>7801.7460000000001</v>
      </c>
      <c r="N8" s="57">
        <v>4281</v>
      </c>
      <c r="O8" s="549">
        <v>9396</v>
      </c>
      <c r="P8" s="549">
        <v>14398</v>
      </c>
      <c r="Q8" s="185">
        <v>19131</v>
      </c>
      <c r="R8" s="393">
        <v>5126</v>
      </c>
      <c r="S8" s="242"/>
      <c r="T8" s="242"/>
      <c r="U8" s="242"/>
      <c r="V8" s="242"/>
      <c r="W8" s="242"/>
      <c r="X8" s="242"/>
      <c r="Y8" s="242"/>
      <c r="Z8" s="242"/>
    </row>
    <row r="9" spans="1:26" s="2" customFormat="1" outlineLevel="1" x14ac:dyDescent="0.25">
      <c r="B9" s="353" t="s">
        <v>172</v>
      </c>
      <c r="C9" s="354"/>
      <c r="D9" s="57">
        <v>38.417000000000002</v>
      </c>
      <c r="E9" s="57">
        <v>987.15</v>
      </c>
      <c r="F9" s="57">
        <v>382.81099999999998</v>
      </c>
      <c r="G9" s="225">
        <v>769.00800000000004</v>
      </c>
      <c r="H9" s="225">
        <v>1030.5920000000001</v>
      </c>
      <c r="I9" s="225">
        <v>1351.0219999999999</v>
      </c>
      <c r="J9" s="57">
        <v>666.63499999999999</v>
      </c>
      <c r="K9" s="225">
        <v>1274.9649999999999</v>
      </c>
      <c r="L9" s="225">
        <v>1394</v>
      </c>
      <c r="M9" s="225">
        <v>2027.462</v>
      </c>
      <c r="N9" s="57">
        <v>1127</v>
      </c>
      <c r="O9" s="549">
        <v>1964</v>
      </c>
      <c r="P9" s="549">
        <v>2622</v>
      </c>
      <c r="Q9" s="185">
        <v>3814</v>
      </c>
      <c r="R9" s="393">
        <v>688</v>
      </c>
      <c r="S9" s="242"/>
      <c r="T9" s="242"/>
      <c r="U9" s="242"/>
      <c r="V9" s="242"/>
      <c r="W9" s="242"/>
      <c r="X9" s="242"/>
      <c r="Y9" s="242"/>
      <c r="Z9" s="242"/>
    </row>
    <row r="10" spans="1:26" s="2" customFormat="1" ht="20.100000000000001" customHeight="1" outlineLevel="1" x14ac:dyDescent="0.25">
      <c r="B10" s="353" t="s">
        <v>68</v>
      </c>
      <c r="C10" s="354"/>
      <c r="D10" s="57">
        <v>1042.412</v>
      </c>
      <c r="E10" s="57">
        <v>21.419</v>
      </c>
      <c r="F10" s="57">
        <v>29.481999999999999</v>
      </c>
      <c r="G10" s="225">
        <v>70.831999999999994</v>
      </c>
      <c r="H10" s="225">
        <v>72.951999999999998</v>
      </c>
      <c r="I10" s="225">
        <v>74.466999999999999</v>
      </c>
      <c r="J10" s="57">
        <v>2.3290000000000002</v>
      </c>
      <c r="K10" s="225">
        <v>2.3290000000000002</v>
      </c>
      <c r="L10" s="225">
        <v>2</v>
      </c>
      <c r="M10" s="225">
        <v>1.7709999999999999</v>
      </c>
      <c r="N10" s="57">
        <v>0</v>
      </c>
      <c r="O10" s="549">
        <v>0</v>
      </c>
      <c r="P10" s="549">
        <v>0</v>
      </c>
      <c r="Q10" s="185">
        <v>0</v>
      </c>
      <c r="R10" s="393">
        <v>0</v>
      </c>
      <c r="S10" s="242"/>
      <c r="T10" s="242"/>
      <c r="U10" s="242"/>
      <c r="V10" s="242"/>
      <c r="W10" s="242"/>
      <c r="X10" s="242"/>
      <c r="Y10" s="242"/>
      <c r="Z10" s="242"/>
    </row>
    <row r="11" spans="1:26" s="2" customFormat="1" x14ac:dyDescent="0.25">
      <c r="B11" s="355" t="s">
        <v>49</v>
      </c>
      <c r="C11" s="356"/>
      <c r="D11" s="92">
        <v>-7580.5379999999996</v>
      </c>
      <c r="E11" s="92">
        <v>-17791.857</v>
      </c>
      <c r="F11" s="92">
        <v>-4048.6749999999997</v>
      </c>
      <c r="G11" s="226">
        <v>-8074.8850000000002</v>
      </c>
      <c r="H11" s="226">
        <v>-12952.730000000001</v>
      </c>
      <c r="I11" s="226">
        <v>-20802.903999999999</v>
      </c>
      <c r="J11" s="92">
        <v>-10320.234000000002</v>
      </c>
      <c r="K11" s="226">
        <v>-20817.994999999999</v>
      </c>
      <c r="L11" s="226">
        <v>-32608</v>
      </c>
      <c r="M11" s="226">
        <v>-48576.042000000001</v>
      </c>
      <c r="N11" s="92">
        <v>-18617</v>
      </c>
      <c r="O11" s="550">
        <v>-42597</v>
      </c>
      <c r="P11" s="550">
        <f>P12+P13+P14+P15+P16</f>
        <v>-66666</v>
      </c>
      <c r="Q11" s="186">
        <f>Q12+Q13+Q14+Q15+Q16</f>
        <v>-88725</v>
      </c>
      <c r="R11" s="186">
        <f>R12+R13+R14+R15+R16</f>
        <v>-19776</v>
      </c>
      <c r="S11" s="242"/>
      <c r="T11" s="242"/>
      <c r="U11" s="242"/>
      <c r="V11" s="242"/>
      <c r="W11" s="242"/>
      <c r="X11" s="242"/>
      <c r="Y11" s="242"/>
      <c r="Z11" s="242"/>
    </row>
    <row r="12" spans="1:26" s="2" customFormat="1" outlineLevel="1" x14ac:dyDescent="0.25">
      <c r="B12" s="351" t="s">
        <v>14</v>
      </c>
      <c r="C12" s="352"/>
      <c r="D12" s="57">
        <v>-6834.54</v>
      </c>
      <c r="E12" s="57">
        <v>-16489.343000000001</v>
      </c>
      <c r="F12" s="57">
        <v>-3735.5450000000001</v>
      </c>
      <c r="G12" s="225">
        <v>-7406.9440000000004</v>
      </c>
      <c r="H12" s="225">
        <v>-11562.84</v>
      </c>
      <c r="I12" s="225">
        <v>-18144.839</v>
      </c>
      <c r="J12" s="57">
        <v>-8957.1290000000008</v>
      </c>
      <c r="K12" s="225">
        <v>-18529.886999999999</v>
      </c>
      <c r="L12" s="225">
        <v>-28657</v>
      </c>
      <c r="M12" s="225">
        <v>-41254.373</v>
      </c>
      <c r="N12" s="57">
        <v>-14995</v>
      </c>
      <c r="O12" s="549">
        <v>-33490</v>
      </c>
      <c r="P12" s="549">
        <v>-52534</v>
      </c>
      <c r="Q12" s="185">
        <v>-69871</v>
      </c>
      <c r="R12" s="393">
        <v>-15120</v>
      </c>
      <c r="S12" s="242"/>
      <c r="T12" s="242"/>
      <c r="U12" s="242"/>
      <c r="V12" s="242"/>
      <c r="W12" s="242"/>
      <c r="X12" s="242"/>
      <c r="Y12" s="242"/>
      <c r="Z12" s="242"/>
    </row>
    <row r="13" spans="1:26" s="2" customFormat="1" outlineLevel="1" x14ac:dyDescent="0.25">
      <c r="B13" s="351" t="s">
        <v>13</v>
      </c>
      <c r="C13" s="352"/>
      <c r="D13" s="57">
        <v>-266.928</v>
      </c>
      <c r="E13" s="57">
        <v>-544.62699999999995</v>
      </c>
      <c r="F13" s="57">
        <v>-30.873999999999999</v>
      </c>
      <c r="G13" s="225">
        <v>-140.124</v>
      </c>
      <c r="H13" s="225">
        <v>-669.55600000000004</v>
      </c>
      <c r="I13" s="225">
        <v>-1374.816</v>
      </c>
      <c r="J13" s="57">
        <v>-723.74099999999999</v>
      </c>
      <c r="K13" s="225">
        <v>-1007.678</v>
      </c>
      <c r="L13" s="225">
        <v>-1987</v>
      </c>
      <c r="M13" s="225">
        <v>-4601.107</v>
      </c>
      <c r="N13" s="57">
        <v>-2844</v>
      </c>
      <c r="O13" s="549">
        <v>-5308</v>
      </c>
      <c r="P13" s="549">
        <v>-8169</v>
      </c>
      <c r="Q13" s="185">
        <v>-11814</v>
      </c>
      <c r="R13" s="393">
        <v>-3999</v>
      </c>
      <c r="S13" s="242"/>
      <c r="T13" s="242"/>
      <c r="U13" s="242"/>
      <c r="V13" s="242"/>
      <c r="W13" s="242"/>
      <c r="X13" s="242"/>
      <c r="Y13" s="242"/>
      <c r="Z13" s="242"/>
    </row>
    <row r="14" spans="1:26" s="2" customFormat="1" outlineLevel="1" x14ac:dyDescent="0.25">
      <c r="B14" s="351" t="s">
        <v>173</v>
      </c>
      <c r="C14" s="352"/>
      <c r="D14" s="57">
        <v>-436.15199999999999</v>
      </c>
      <c r="E14" s="57">
        <v>-689.15599999999995</v>
      </c>
      <c r="F14" s="57">
        <v>-263.86099999999999</v>
      </c>
      <c r="G14" s="225">
        <v>-490.11500000000001</v>
      </c>
      <c r="H14" s="225">
        <v>-663.19</v>
      </c>
      <c r="I14" s="225">
        <v>-1207.377</v>
      </c>
      <c r="J14" s="57">
        <v>-619.72699999999998</v>
      </c>
      <c r="K14" s="225">
        <v>-1240.008</v>
      </c>
      <c r="L14" s="225">
        <v>-1902</v>
      </c>
      <c r="M14" s="225">
        <v>-2635.5160000000001</v>
      </c>
      <c r="N14" s="57">
        <v>-754</v>
      </c>
      <c r="O14" s="549">
        <v>-1740</v>
      </c>
      <c r="P14" s="549">
        <v>-2798</v>
      </c>
      <c r="Q14" s="185">
        <v>-3639</v>
      </c>
      <c r="R14" s="393">
        <v>-617</v>
      </c>
      <c r="S14" s="242"/>
      <c r="T14" s="242"/>
      <c r="U14" s="242"/>
      <c r="V14" s="242"/>
      <c r="W14" s="242"/>
      <c r="X14" s="242"/>
      <c r="Y14" s="242"/>
      <c r="Z14" s="242"/>
    </row>
    <row r="15" spans="1:26" s="2" customFormat="1" outlineLevel="1" x14ac:dyDescent="0.25">
      <c r="B15" s="351" t="s">
        <v>17</v>
      </c>
      <c r="C15" s="352"/>
      <c r="D15" s="57">
        <v>-42.917999999999999</v>
      </c>
      <c r="E15" s="57">
        <v>-68.730999999999995</v>
      </c>
      <c r="F15" s="57">
        <v>-18.395</v>
      </c>
      <c r="G15" s="225">
        <v>-37.701999999999998</v>
      </c>
      <c r="H15" s="225">
        <v>-57.143999999999998</v>
      </c>
      <c r="I15" s="225">
        <v>-75.872</v>
      </c>
      <c r="J15" s="57">
        <v>-19.637</v>
      </c>
      <c r="K15" s="225">
        <v>-40.421999999999997</v>
      </c>
      <c r="L15" s="225">
        <v>-62</v>
      </c>
      <c r="M15" s="225">
        <v>-85.046000000000006</v>
      </c>
      <c r="N15" s="57">
        <v>-24</v>
      </c>
      <c r="O15" s="549">
        <v>-54</v>
      </c>
      <c r="P15" s="549">
        <v>-87</v>
      </c>
      <c r="Q15" s="185">
        <v>-120</v>
      </c>
      <c r="R15" s="393">
        <v>-40</v>
      </c>
      <c r="S15" s="242"/>
      <c r="T15" s="242"/>
      <c r="U15" s="242"/>
      <c r="V15" s="242"/>
      <c r="W15" s="242"/>
      <c r="X15" s="242"/>
      <c r="Y15" s="242"/>
      <c r="Z15" s="242"/>
    </row>
    <row r="16" spans="1:26" s="2" customFormat="1" outlineLevel="1" x14ac:dyDescent="0.25">
      <c r="B16" s="351" t="s">
        <v>174</v>
      </c>
      <c r="C16" s="352"/>
      <c r="D16" s="57">
        <v>0</v>
      </c>
      <c r="E16" s="57">
        <v>0</v>
      </c>
      <c r="F16" s="57">
        <v>0</v>
      </c>
      <c r="G16" s="225">
        <v>0</v>
      </c>
      <c r="H16" s="225">
        <v>0</v>
      </c>
      <c r="I16" s="225">
        <v>0</v>
      </c>
      <c r="J16" s="57">
        <v>0</v>
      </c>
      <c r="K16" s="225">
        <v>0</v>
      </c>
      <c r="L16" s="225">
        <v>0</v>
      </c>
      <c r="M16" s="225">
        <v>0</v>
      </c>
      <c r="N16" s="57">
        <v>0</v>
      </c>
      <c r="O16" s="549">
        <v>-2005</v>
      </c>
      <c r="P16" s="549">
        <v>-3078</v>
      </c>
      <c r="Q16" s="185">
        <v>-3281</v>
      </c>
      <c r="R16" s="393">
        <v>0</v>
      </c>
      <c r="S16" s="242"/>
      <c r="T16" s="242"/>
      <c r="U16" s="242"/>
      <c r="V16" s="242"/>
      <c r="W16" s="242"/>
      <c r="X16" s="242"/>
      <c r="Y16" s="242"/>
      <c r="Z16" s="242"/>
    </row>
    <row r="17" spans="2:26" s="2" customFormat="1" x14ac:dyDescent="0.25">
      <c r="B17" s="357" t="s">
        <v>50</v>
      </c>
      <c r="C17" s="358"/>
      <c r="D17" s="93">
        <v>-498.03500000000003</v>
      </c>
      <c r="E17" s="93">
        <v>-641.01199999999994</v>
      </c>
      <c r="F17" s="93">
        <v>-202.94900000000001</v>
      </c>
      <c r="G17" s="227">
        <v>-412.91300000000001</v>
      </c>
      <c r="H17" s="227">
        <v>-622.25099999999998</v>
      </c>
      <c r="I17" s="227">
        <v>-853.52</v>
      </c>
      <c r="J17" s="93">
        <v>-259.423</v>
      </c>
      <c r="K17" s="227">
        <v>-539.50599999999997</v>
      </c>
      <c r="L17" s="227">
        <v>-815</v>
      </c>
      <c r="M17" s="227">
        <v>-1092.569</v>
      </c>
      <c r="N17" s="93">
        <v>-297</v>
      </c>
      <c r="O17" s="551">
        <v>-636</v>
      </c>
      <c r="P17" s="551">
        <v>-1010</v>
      </c>
      <c r="Q17" s="187">
        <v>-1400</v>
      </c>
      <c r="R17" s="579">
        <v>-389</v>
      </c>
      <c r="S17" s="242"/>
      <c r="T17" s="242"/>
      <c r="U17" s="242"/>
      <c r="V17" s="242"/>
      <c r="W17" s="242"/>
      <c r="X17" s="242"/>
      <c r="Y17" s="242"/>
      <c r="Z17" s="242"/>
    </row>
    <row r="18" spans="2:26" s="2" customFormat="1" x14ac:dyDescent="0.25">
      <c r="B18" s="359" t="s">
        <v>51</v>
      </c>
      <c r="C18" s="360"/>
      <c r="D18" s="361">
        <f t="shared" ref="D18:I18" si="1">D5+D11+D17</f>
        <v>19278.659273750003</v>
      </c>
      <c r="E18" s="361">
        <f t="shared" si="1"/>
        <v>24579.482472760006</v>
      </c>
      <c r="F18" s="361">
        <f t="shared" si="1"/>
        <v>8283.3550000000014</v>
      </c>
      <c r="G18" s="362">
        <f t="shared" si="1"/>
        <v>17563.326999999997</v>
      </c>
      <c r="H18" s="362">
        <f t="shared" si="1"/>
        <v>26349.611999999997</v>
      </c>
      <c r="I18" s="362">
        <f t="shared" si="1"/>
        <v>35882.69400000001</v>
      </c>
      <c r="J18" s="361">
        <v>9651.916999999994</v>
      </c>
      <c r="K18" s="362">
        <v>20826.060000000001</v>
      </c>
      <c r="L18" s="362">
        <v>32095</v>
      </c>
      <c r="M18" s="362">
        <v>41559.483999999982</v>
      </c>
      <c r="N18" s="361">
        <f>N5+N11+N17</f>
        <v>8667</v>
      </c>
      <c r="O18" s="362">
        <f>O5+O11+O17</f>
        <v>19348</v>
      </c>
      <c r="P18" s="362">
        <f>P5+P11+P17</f>
        <v>31379</v>
      </c>
      <c r="Q18" s="363">
        <f>Q5+Q11+Q17</f>
        <v>46001</v>
      </c>
      <c r="R18" s="580">
        <f>R5+R11+R17</f>
        <v>14293</v>
      </c>
      <c r="S18" s="242"/>
      <c r="T18" s="242"/>
      <c r="U18" s="242"/>
      <c r="V18" s="242"/>
      <c r="W18" s="242"/>
      <c r="X18" s="242"/>
      <c r="Y18" s="242"/>
      <c r="Z18" s="242"/>
    </row>
    <row r="19" spans="2:26" s="335" customFormat="1" x14ac:dyDescent="0.25">
      <c r="B19" s="336"/>
      <c r="C19" s="336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552"/>
      <c r="O19" s="552"/>
      <c r="P19" s="552"/>
      <c r="Q19" s="552"/>
      <c r="R19" s="228"/>
    </row>
    <row r="20" spans="2:26" ht="19.149999999999999" customHeight="1" x14ac:dyDescent="0.25">
      <c r="B20" s="364" t="s">
        <v>52</v>
      </c>
      <c r="C20" s="365"/>
      <c r="D20" s="90">
        <f t="shared" ref="D20:I20" si="2">-(D21+D22+D23+D24+D25)</f>
        <v>-11395.770999999999</v>
      </c>
      <c r="E20" s="90">
        <f t="shared" si="2"/>
        <v>-23114.035</v>
      </c>
      <c r="F20" s="90">
        <f t="shared" si="2"/>
        <v>-5953.4250000000002</v>
      </c>
      <c r="G20" s="91">
        <f t="shared" si="2"/>
        <v>-12386.695</v>
      </c>
      <c r="H20" s="91">
        <f t="shared" si="2"/>
        <v>-17431.446</v>
      </c>
      <c r="I20" s="91">
        <f t="shared" si="2"/>
        <v>-25851.20898459532</v>
      </c>
      <c r="J20" s="90">
        <v>-8799.4790000000012</v>
      </c>
      <c r="K20" s="91">
        <v>-15474.894</v>
      </c>
      <c r="L20" s="91">
        <v>-22590</v>
      </c>
      <c r="M20" s="91">
        <v>-30901.440999999999</v>
      </c>
      <c r="N20" s="90">
        <f t="shared" ref="N20:Q20" si="3">-(N21+N22+N23+N24+N25)</f>
        <v>-6788</v>
      </c>
      <c r="O20" s="91">
        <f t="shared" si="3"/>
        <v>-12501</v>
      </c>
      <c r="P20" s="91">
        <f t="shared" si="3"/>
        <v>-18460</v>
      </c>
      <c r="Q20" s="184">
        <f t="shared" si="3"/>
        <v>-24752</v>
      </c>
      <c r="R20" s="577">
        <f t="shared" ref="R20" si="4">-(R21+R22+R23+R24+R25)</f>
        <v>-7434</v>
      </c>
      <c r="S20" s="242"/>
      <c r="T20" s="242"/>
      <c r="U20" s="242"/>
      <c r="V20" s="242"/>
      <c r="W20" s="242"/>
      <c r="X20" s="242"/>
      <c r="Y20" s="242"/>
      <c r="Z20" s="242"/>
    </row>
    <row r="21" spans="2:26" ht="31.5" outlineLevel="1" x14ac:dyDescent="0.25">
      <c r="B21" s="353" t="s">
        <v>108</v>
      </c>
      <c r="C21" s="354"/>
      <c r="D21" s="57">
        <v>12636.474</v>
      </c>
      <c r="E21" s="57">
        <v>22791.174999999999</v>
      </c>
      <c r="F21" s="57">
        <v>6134.9229999999998</v>
      </c>
      <c r="G21" s="225">
        <v>12426.342000000001</v>
      </c>
      <c r="H21" s="225">
        <v>17233.455000000002</v>
      </c>
      <c r="I21" s="225">
        <v>25003.684000000001</v>
      </c>
      <c r="J21" s="57">
        <v>8814.6450000000004</v>
      </c>
      <c r="K21" s="225">
        <v>15590.576999999999</v>
      </c>
      <c r="L21" s="225">
        <v>22546</v>
      </c>
      <c r="M21" s="225">
        <v>30585.914000000001</v>
      </c>
      <c r="N21" s="57">
        <v>7304</v>
      </c>
      <c r="O21" s="549">
        <v>13124</v>
      </c>
      <c r="P21" s="549">
        <v>18990</v>
      </c>
      <c r="Q21" s="185">
        <v>23691</v>
      </c>
      <c r="R21" s="393">
        <v>7098</v>
      </c>
      <c r="S21" s="242"/>
      <c r="T21" s="242"/>
      <c r="U21" s="242"/>
      <c r="V21" s="242"/>
      <c r="W21" s="242"/>
      <c r="X21" s="242"/>
      <c r="Y21" s="242"/>
      <c r="Z21" s="242"/>
    </row>
    <row r="22" spans="2:26" ht="31.5" outlineLevel="1" x14ac:dyDescent="0.25">
      <c r="B22" s="353" t="s">
        <v>109</v>
      </c>
      <c r="C22" s="354"/>
      <c r="D22" s="57">
        <v>-1261.9659999999999</v>
      </c>
      <c r="E22" s="57">
        <v>122.983</v>
      </c>
      <c r="F22" s="57">
        <v>-143.40700000000001</v>
      </c>
      <c r="G22" s="225">
        <v>-58.226999999999997</v>
      </c>
      <c r="H22" s="225">
        <v>104.124</v>
      </c>
      <c r="I22" s="225">
        <v>762.029</v>
      </c>
      <c r="J22" s="57">
        <v>-26.626000000000001</v>
      </c>
      <c r="K22" s="225">
        <v>-25.398</v>
      </c>
      <c r="L22" s="225">
        <v>122</v>
      </c>
      <c r="M22" s="225">
        <v>249.43100000000001</v>
      </c>
      <c r="N22" s="57">
        <v>-465</v>
      </c>
      <c r="O22" s="549">
        <v>-466</v>
      </c>
      <c r="P22" s="549">
        <v>-370</v>
      </c>
      <c r="Q22" s="185">
        <v>1168</v>
      </c>
      <c r="R22" s="393">
        <v>358</v>
      </c>
      <c r="S22" s="242"/>
      <c r="T22" s="242"/>
      <c r="U22" s="242"/>
      <c r="V22" s="242"/>
      <c r="W22" s="242"/>
      <c r="X22" s="242"/>
      <c r="Y22" s="242"/>
      <c r="Z22" s="242"/>
    </row>
    <row r="23" spans="2:26" ht="31.5" outlineLevel="1" x14ac:dyDescent="0.25">
      <c r="B23" s="353" t="s">
        <v>69</v>
      </c>
      <c r="C23" s="354"/>
      <c r="D23" s="57">
        <v>20.710999999999999</v>
      </c>
      <c r="E23" s="57">
        <v>154.98500000000001</v>
      </c>
      <c r="F23" s="57">
        <v>-39.643000000000001</v>
      </c>
      <c r="G23" s="225">
        <v>-13.27</v>
      </c>
      <c r="H23" s="225">
        <v>82.777000000000001</v>
      </c>
      <c r="I23" s="225">
        <v>67.997984595319252</v>
      </c>
      <c r="J23" s="57">
        <v>7.9219999999999997</v>
      </c>
      <c r="K23" s="225">
        <v>-100.80200000000001</v>
      </c>
      <c r="L23" s="225">
        <v>-106</v>
      </c>
      <c r="M23" s="225">
        <v>26.696000000000002</v>
      </c>
      <c r="N23" s="57">
        <v>-95</v>
      </c>
      <c r="O23" s="549">
        <v>-115</v>
      </c>
      <c r="P23" s="549">
        <v>-119</v>
      </c>
      <c r="Q23" s="185">
        <v>-67</v>
      </c>
      <c r="R23" s="393">
        <v>-19</v>
      </c>
      <c r="S23" s="242"/>
      <c r="T23" s="242"/>
      <c r="U23" s="242"/>
      <c r="V23" s="242"/>
      <c r="W23" s="242"/>
      <c r="X23" s="242"/>
      <c r="Y23" s="242"/>
      <c r="Z23" s="242"/>
    </row>
    <row r="24" spans="2:26" ht="36" customHeight="1" outlineLevel="1" x14ac:dyDescent="0.25">
      <c r="B24" s="353" t="s">
        <v>70</v>
      </c>
      <c r="C24" s="354"/>
      <c r="D24" s="57">
        <v>0.55200000000000005</v>
      </c>
      <c r="E24" s="57">
        <v>-3.7309999999999999</v>
      </c>
      <c r="F24" s="57">
        <v>-0.155</v>
      </c>
      <c r="G24" s="225">
        <v>0.67800000000000005</v>
      </c>
      <c r="H24" s="225">
        <v>0.48899999999999999</v>
      </c>
      <c r="I24" s="225">
        <v>0.42599999999999999</v>
      </c>
      <c r="J24" s="57">
        <v>2.7E-2</v>
      </c>
      <c r="K24" s="225">
        <v>-0.66200000000000003</v>
      </c>
      <c r="L24" s="225">
        <v>-1</v>
      </c>
      <c r="M24" s="225">
        <v>-1.2909999999999999</v>
      </c>
      <c r="N24" s="57">
        <v>21</v>
      </c>
      <c r="O24" s="549">
        <v>26</v>
      </c>
      <c r="P24" s="549">
        <v>27</v>
      </c>
      <c r="Q24" s="185">
        <v>25</v>
      </c>
      <c r="R24" s="393">
        <v>-3</v>
      </c>
      <c r="S24" s="242"/>
      <c r="T24" s="242"/>
      <c r="U24" s="242"/>
      <c r="V24" s="242"/>
      <c r="W24" s="242"/>
      <c r="X24" s="242"/>
      <c r="Y24" s="242"/>
      <c r="Z24" s="242"/>
    </row>
    <row r="25" spans="2:26" ht="47.25" outlineLevel="1" x14ac:dyDescent="0.25">
      <c r="B25" s="366" t="s">
        <v>71</v>
      </c>
      <c r="C25" s="367"/>
      <c r="D25" s="368">
        <v>0</v>
      </c>
      <c r="E25" s="368">
        <v>48.622999999999998</v>
      </c>
      <c r="F25" s="368">
        <v>1.7070000000000001</v>
      </c>
      <c r="G25" s="369">
        <v>31.172000000000001</v>
      </c>
      <c r="H25" s="369">
        <v>10.601000000000001</v>
      </c>
      <c r="I25" s="369">
        <v>17.071999999999999</v>
      </c>
      <c r="J25" s="368">
        <v>3.5110000000000001</v>
      </c>
      <c r="K25" s="369">
        <v>11.179</v>
      </c>
      <c r="L25" s="369">
        <v>29</v>
      </c>
      <c r="M25" s="369">
        <v>40.691000000000003</v>
      </c>
      <c r="N25" s="368">
        <v>23</v>
      </c>
      <c r="O25" s="369">
        <v>-68</v>
      </c>
      <c r="P25" s="369">
        <v>-68</v>
      </c>
      <c r="Q25" s="370">
        <v>-65</v>
      </c>
      <c r="R25" s="394">
        <v>0</v>
      </c>
      <c r="S25" s="242"/>
      <c r="T25" s="242"/>
      <c r="U25" s="242"/>
      <c r="V25" s="242"/>
      <c r="W25" s="242"/>
      <c r="X25" s="242"/>
      <c r="Y25" s="242"/>
      <c r="Z25" s="242"/>
    </row>
    <row r="26" spans="2:26" s="243" customFormat="1" x14ac:dyDescent="0.25">
      <c r="B26" s="332"/>
      <c r="C26" s="332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</row>
    <row r="27" spans="2:26" s="335" customFormat="1" ht="19.149999999999999" customHeight="1" x14ac:dyDescent="0.25">
      <c r="B27" s="333" t="s">
        <v>53</v>
      </c>
      <c r="C27" s="333"/>
      <c r="D27" s="229">
        <f t="shared" ref="D27:I27" si="5">D18+D20</f>
        <v>7882.8882737500044</v>
      </c>
      <c r="E27" s="229">
        <f t="shared" si="5"/>
        <v>1465.4474727600063</v>
      </c>
      <c r="F27" s="229">
        <f t="shared" si="5"/>
        <v>2329.9300000000012</v>
      </c>
      <c r="G27" s="229">
        <f t="shared" si="5"/>
        <v>5176.6319999999978</v>
      </c>
      <c r="H27" s="229">
        <f t="shared" si="5"/>
        <v>8918.1659999999974</v>
      </c>
      <c r="I27" s="229">
        <f t="shared" si="5"/>
        <v>10031.485015404691</v>
      </c>
      <c r="J27" s="229">
        <v>852.43799999999283</v>
      </c>
      <c r="K27" s="229">
        <v>5351.1660000000011</v>
      </c>
      <c r="L27" s="229">
        <v>9505</v>
      </c>
      <c r="M27" s="229">
        <v>10658.043</v>
      </c>
      <c r="N27" s="553">
        <f t="shared" ref="N27:Q27" si="6">N18+N20</f>
        <v>1879</v>
      </c>
      <c r="O27" s="553">
        <f t="shared" si="6"/>
        <v>6847</v>
      </c>
      <c r="P27" s="553">
        <f t="shared" si="6"/>
        <v>12919</v>
      </c>
      <c r="Q27" s="553">
        <f t="shared" si="6"/>
        <v>21249</v>
      </c>
      <c r="R27" s="229">
        <f t="shared" ref="R27" si="7">R18+R20</f>
        <v>6859</v>
      </c>
      <c r="S27" s="334"/>
      <c r="T27" s="334"/>
      <c r="U27" s="334"/>
      <c r="V27" s="334"/>
      <c r="W27" s="334"/>
      <c r="X27" s="334"/>
      <c r="Y27" s="334"/>
      <c r="Z27" s="334"/>
    </row>
    <row r="28" spans="2:26" s="335" customFormat="1" x14ac:dyDescent="0.25">
      <c r="B28" s="336"/>
      <c r="C28" s="336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596"/>
      <c r="O28" s="596"/>
      <c r="P28" s="596"/>
      <c r="Q28" s="596"/>
      <c r="R28" s="228"/>
      <c r="S28" s="337"/>
      <c r="T28" s="337"/>
      <c r="U28" s="337"/>
      <c r="V28" s="337"/>
    </row>
    <row r="29" spans="2:26" ht="31.5" x14ac:dyDescent="0.25">
      <c r="B29" s="371" t="s">
        <v>105</v>
      </c>
      <c r="C29" s="372"/>
      <c r="D29" s="373">
        <v>-544.04200000000003</v>
      </c>
      <c r="E29" s="373">
        <v>3724.4630000000002</v>
      </c>
      <c r="F29" s="373">
        <v>1164.0070000000001</v>
      </c>
      <c r="G29" s="285">
        <f>2368.286-0.07</f>
        <v>2368.2159999999999</v>
      </c>
      <c r="H29" s="285">
        <f>4059.789-0.07</f>
        <v>4059.7190000000001</v>
      </c>
      <c r="I29" s="285">
        <f>5397.595-0.07</f>
        <v>5397.5250000000005</v>
      </c>
      <c r="J29" s="373">
        <v>1570.3240000000001</v>
      </c>
      <c r="K29" s="285">
        <v>900.09699999999998</v>
      </c>
      <c r="L29" s="285">
        <v>2112</v>
      </c>
      <c r="M29" s="285">
        <v>3689.3079999999995</v>
      </c>
      <c r="N29" s="373">
        <v>-2115</v>
      </c>
      <c r="O29" s="285">
        <v>-2460</v>
      </c>
      <c r="P29" s="285">
        <v>-136</v>
      </c>
      <c r="Q29" s="374">
        <v>279</v>
      </c>
      <c r="R29" s="581">
        <v>604</v>
      </c>
      <c r="S29" s="242"/>
      <c r="T29" s="242"/>
      <c r="U29" s="242"/>
      <c r="V29" s="242"/>
      <c r="W29" s="242"/>
      <c r="X29" s="242"/>
      <c r="Y29" s="242"/>
      <c r="Z29" s="242"/>
    </row>
    <row r="30" spans="2:26" s="2" customFormat="1" x14ac:dyDescent="0.25">
      <c r="B30" s="355" t="s">
        <v>54</v>
      </c>
      <c r="C30" s="356"/>
      <c r="D30" s="92">
        <f t="shared" ref="D30:Q30" si="8">D31+D32+D33+D34+D35+D37+D38+D39+D36</f>
        <v>20335.877</v>
      </c>
      <c r="E30" s="92">
        <f t="shared" si="8"/>
        <v>21697.626008860003</v>
      </c>
      <c r="F30" s="92">
        <f t="shared" si="8"/>
        <v>5971.5300000000007</v>
      </c>
      <c r="G30" s="226">
        <f t="shared" si="8"/>
        <v>12779.643</v>
      </c>
      <c r="H30" s="226">
        <f t="shared" si="8"/>
        <v>21557.333000000002</v>
      </c>
      <c r="I30" s="226">
        <f t="shared" si="8"/>
        <v>30788.645</v>
      </c>
      <c r="J30" s="92">
        <f t="shared" si="8"/>
        <v>8791.8030000000017</v>
      </c>
      <c r="K30" s="226">
        <f t="shared" si="8"/>
        <v>17375.427</v>
      </c>
      <c r="L30" s="226">
        <f t="shared" si="8"/>
        <v>25081</v>
      </c>
      <c r="M30" s="226">
        <f t="shared" si="8"/>
        <v>32071.835999999996</v>
      </c>
      <c r="N30" s="92">
        <f t="shared" si="8"/>
        <v>5886</v>
      </c>
      <c r="O30" s="550">
        <f t="shared" si="8"/>
        <v>11799</v>
      </c>
      <c r="P30" s="550">
        <f t="shared" si="8"/>
        <v>17894</v>
      </c>
      <c r="Q30" s="186">
        <f t="shared" si="8"/>
        <v>23804</v>
      </c>
      <c r="R30" s="578">
        <f>R31+R32+R33+R34+R35+R37+R38+R39+R36</f>
        <v>5374</v>
      </c>
      <c r="S30" s="242"/>
      <c r="T30" s="242"/>
      <c r="U30" s="242"/>
      <c r="V30" s="242"/>
      <c r="W30" s="242"/>
      <c r="X30" s="242"/>
      <c r="Y30" s="242"/>
      <c r="Z30" s="242"/>
    </row>
    <row r="31" spans="2:26" s="2" customFormat="1" outlineLevel="1" x14ac:dyDescent="0.25">
      <c r="B31" s="351" t="s">
        <v>72</v>
      </c>
      <c r="C31" s="352"/>
      <c r="D31" s="57">
        <v>8320.6839999999993</v>
      </c>
      <c r="E31" s="57">
        <v>6179.2529999999997</v>
      </c>
      <c r="F31" s="57">
        <v>1573.528</v>
      </c>
      <c r="G31" s="225">
        <v>3858.3020000000001</v>
      </c>
      <c r="H31" s="225">
        <v>7568.8879999999999</v>
      </c>
      <c r="I31" s="225">
        <v>11151.934999999999</v>
      </c>
      <c r="J31" s="57">
        <v>3717.0749999999998</v>
      </c>
      <c r="K31" s="225">
        <v>7177.4809999999998</v>
      </c>
      <c r="L31" s="225">
        <v>9463</v>
      </c>
      <c r="M31" s="225">
        <v>11147.596</v>
      </c>
      <c r="N31" s="57">
        <v>1263</v>
      </c>
      <c r="O31" s="549">
        <v>2737</v>
      </c>
      <c r="P31" s="549">
        <v>4227</v>
      </c>
      <c r="Q31" s="185">
        <v>5396</v>
      </c>
      <c r="R31" s="393">
        <v>517</v>
      </c>
      <c r="S31" s="242"/>
      <c r="T31" s="242"/>
      <c r="U31" s="242"/>
      <c r="V31" s="242"/>
      <c r="W31" s="242"/>
      <c r="X31" s="242"/>
      <c r="Y31" s="242"/>
      <c r="Z31" s="242"/>
    </row>
    <row r="32" spans="2:26" s="2" customFormat="1" outlineLevel="1" x14ac:dyDescent="0.25">
      <c r="B32" s="351" t="s">
        <v>73</v>
      </c>
      <c r="C32" s="352"/>
      <c r="D32" s="57">
        <v>5203.8670000000002</v>
      </c>
      <c r="E32" s="57">
        <v>5836.482</v>
      </c>
      <c r="F32" s="57">
        <v>1530.3980024700002</v>
      </c>
      <c r="G32" s="225">
        <v>3169.9579612899993</v>
      </c>
      <c r="H32" s="225">
        <v>4882.3579174599963</v>
      </c>
      <c r="I32" s="375">
        <v>6738.341807439997</v>
      </c>
      <c r="J32" s="57">
        <v>1720.2607074399994</v>
      </c>
      <c r="K32" s="225">
        <v>3594.9873140899972</v>
      </c>
      <c r="L32" s="225">
        <v>5588</v>
      </c>
      <c r="M32" s="225">
        <v>7627.6382876399957</v>
      </c>
      <c r="N32" s="57">
        <v>1970</v>
      </c>
      <c r="O32" s="549">
        <v>3896</v>
      </c>
      <c r="P32" s="549">
        <v>5816</v>
      </c>
      <c r="Q32" s="185">
        <v>7779</v>
      </c>
      <c r="R32" s="393">
        <v>2131</v>
      </c>
      <c r="S32" s="242"/>
      <c r="T32" s="242"/>
      <c r="U32" s="242"/>
      <c r="V32" s="242"/>
      <c r="W32" s="242"/>
      <c r="X32" s="242"/>
      <c r="Y32" s="242"/>
      <c r="Z32" s="242"/>
    </row>
    <row r="33" spans="2:34" s="2" customFormat="1" outlineLevel="1" x14ac:dyDescent="0.25">
      <c r="B33" s="351" t="s">
        <v>74</v>
      </c>
      <c r="C33" s="352"/>
      <c r="D33" s="57">
        <v>1699.3579999999999</v>
      </c>
      <c r="E33" s="57">
        <v>2697.7539999999999</v>
      </c>
      <c r="F33" s="57">
        <v>1008.1409975299998</v>
      </c>
      <c r="G33" s="225">
        <v>1791.6640387100006</v>
      </c>
      <c r="H33" s="225">
        <v>3028.0070825400035</v>
      </c>
      <c r="I33" s="375">
        <v>4634.2261925600033</v>
      </c>
      <c r="J33" s="57">
        <v>1233.5022925600006</v>
      </c>
      <c r="K33" s="225">
        <v>2270.4876859100027</v>
      </c>
      <c r="L33" s="225">
        <v>3576</v>
      </c>
      <c r="M33" s="225">
        <v>4828.8527123600043</v>
      </c>
      <c r="N33" s="57">
        <v>971</v>
      </c>
      <c r="O33" s="549">
        <v>1959</v>
      </c>
      <c r="P33" s="549">
        <v>3128</v>
      </c>
      <c r="Q33" s="185">
        <v>4249</v>
      </c>
      <c r="R33" s="393">
        <v>1100</v>
      </c>
      <c r="S33" s="242"/>
      <c r="T33" s="242"/>
      <c r="U33" s="242"/>
      <c r="V33" s="242"/>
      <c r="W33" s="242"/>
      <c r="X33" s="242"/>
      <c r="Y33" s="242"/>
      <c r="Z33" s="242"/>
    </row>
    <row r="34" spans="2:34" s="15" customFormat="1" ht="18" customHeight="1" outlineLevel="1" x14ac:dyDescent="0.25">
      <c r="B34" s="353" t="s">
        <v>75</v>
      </c>
      <c r="C34" s="354"/>
      <c r="D34" s="58">
        <v>2347.6289999999999</v>
      </c>
      <c r="E34" s="58">
        <v>3341.6109999999999</v>
      </c>
      <c r="F34" s="58">
        <v>782.80799999999999</v>
      </c>
      <c r="G34" s="230">
        <v>1722.4860000000001</v>
      </c>
      <c r="H34" s="230">
        <v>2631.989</v>
      </c>
      <c r="I34" s="376">
        <v>3614.058</v>
      </c>
      <c r="J34" s="58">
        <v>963.96299999999997</v>
      </c>
      <c r="K34" s="230">
        <v>1919.77</v>
      </c>
      <c r="L34" s="230">
        <v>2880</v>
      </c>
      <c r="M34" s="225">
        <v>3681.4569999999999</v>
      </c>
      <c r="N34" s="58">
        <v>638</v>
      </c>
      <c r="O34" s="554">
        <v>1228</v>
      </c>
      <c r="P34" s="549">
        <v>1783</v>
      </c>
      <c r="Q34" s="185">
        <v>2337</v>
      </c>
      <c r="R34" s="393">
        <v>545</v>
      </c>
      <c r="S34" s="242"/>
      <c r="T34" s="242"/>
      <c r="U34" s="242"/>
      <c r="V34" s="242"/>
      <c r="W34" s="242"/>
      <c r="X34" s="242"/>
      <c r="Y34" s="242"/>
      <c r="Z34" s="242"/>
    </row>
    <row r="35" spans="2:34" s="2" customFormat="1" ht="15" customHeight="1" outlineLevel="1" x14ac:dyDescent="0.25">
      <c r="B35" s="351" t="s">
        <v>148</v>
      </c>
      <c r="C35" s="352"/>
      <c r="D35" s="147">
        <v>1993.461</v>
      </c>
      <c r="E35" s="146">
        <v>2717.23200886</v>
      </c>
      <c r="F35" s="147">
        <v>777.79700000000003</v>
      </c>
      <c r="G35" s="375">
        <v>1566.7270000000001</v>
      </c>
      <c r="H35" s="375">
        <v>2327.1790000000001</v>
      </c>
      <c r="I35" s="375">
        <v>3066.0479999999998</v>
      </c>
      <c r="J35" s="147">
        <v>718.38599999999997</v>
      </c>
      <c r="K35" s="375">
        <v>1467.895</v>
      </c>
      <c r="L35" s="375">
        <v>2199</v>
      </c>
      <c r="M35" s="225">
        <v>2962.1909999999998</v>
      </c>
      <c r="N35" s="146">
        <v>739</v>
      </c>
      <c r="O35" s="555">
        <v>1422</v>
      </c>
      <c r="P35" s="549">
        <v>2135</v>
      </c>
      <c r="Q35" s="185">
        <v>2852</v>
      </c>
      <c r="R35" s="393">
        <v>658</v>
      </c>
      <c r="S35" s="242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</row>
    <row r="36" spans="2:34" s="2" customFormat="1" ht="15" customHeight="1" outlineLevel="1" x14ac:dyDescent="0.25">
      <c r="B36" s="351" t="s">
        <v>180</v>
      </c>
      <c r="C36" s="352"/>
      <c r="D36" s="147">
        <v>13.546272420000001</v>
      </c>
      <c r="E36" s="146">
        <v>11.599024649999993</v>
      </c>
      <c r="F36" s="147">
        <v>6.8957232699999986</v>
      </c>
      <c r="G36" s="375">
        <v>11.471028500000003</v>
      </c>
      <c r="H36" s="375">
        <v>16.758293000000002</v>
      </c>
      <c r="I36" s="375">
        <v>23.219220650000004</v>
      </c>
      <c r="J36" s="147">
        <v>9.0011530099999995</v>
      </c>
      <c r="K36" s="375">
        <v>89.789311099999978</v>
      </c>
      <c r="L36" s="375">
        <v>98.37415691999999</v>
      </c>
      <c r="M36" s="225">
        <v>119.46381759</v>
      </c>
      <c r="N36" s="146">
        <v>9.7193055900000012</v>
      </c>
      <c r="O36" s="555">
        <v>18.528265109999996</v>
      </c>
      <c r="P36" s="549">
        <v>32.126886110000001</v>
      </c>
      <c r="Q36" s="185">
        <v>51</v>
      </c>
      <c r="R36" s="393">
        <v>97</v>
      </c>
      <c r="S36" s="242"/>
      <c r="T36" s="592"/>
      <c r="U36" s="592"/>
      <c r="V36" s="592"/>
      <c r="W36" s="592"/>
      <c r="X36" s="592"/>
      <c r="Y36" s="592"/>
      <c r="Z36" s="592"/>
      <c r="AA36" s="592"/>
      <c r="AB36" s="592"/>
      <c r="AC36" s="592"/>
      <c r="AD36" s="592"/>
      <c r="AE36" s="592"/>
      <c r="AF36" s="592"/>
      <c r="AG36" s="592"/>
      <c r="AH36" s="592"/>
    </row>
    <row r="37" spans="2:34" s="2" customFormat="1" outlineLevel="1" x14ac:dyDescent="0.25">
      <c r="B37" s="351" t="s">
        <v>138</v>
      </c>
      <c r="C37" s="352"/>
      <c r="D37" s="57">
        <v>401.5847081</v>
      </c>
      <c r="E37" s="57">
        <v>367.10316281999997</v>
      </c>
      <c r="F37" s="57">
        <v>114.43412391999992</v>
      </c>
      <c r="G37" s="225">
        <v>307.50873653999963</v>
      </c>
      <c r="H37" s="225">
        <v>604.86721261000002</v>
      </c>
      <c r="I37" s="225">
        <v>966.04124503999958</v>
      </c>
      <c r="J37" s="57">
        <v>325.74638770000013</v>
      </c>
      <c r="K37" s="375">
        <v>659.97329766999997</v>
      </c>
      <c r="L37" s="375">
        <v>1014</v>
      </c>
      <c r="M37" s="225">
        <v>1365.1796451399996</v>
      </c>
      <c r="N37" s="57">
        <v>227</v>
      </c>
      <c r="O37" s="549">
        <v>364</v>
      </c>
      <c r="P37" s="549">
        <v>478</v>
      </c>
      <c r="Q37" s="185">
        <v>623</v>
      </c>
      <c r="R37" s="393">
        <v>94</v>
      </c>
      <c r="S37" s="242"/>
      <c r="T37" s="242"/>
      <c r="U37" s="242"/>
      <c r="V37" s="242"/>
      <c r="W37" s="242"/>
      <c r="X37" s="242"/>
      <c r="Y37" s="242"/>
      <c r="Z37" s="242"/>
      <c r="AH37" s="593"/>
    </row>
    <row r="38" spans="2:34" s="2" customFormat="1" ht="16.149999999999999" customHeight="1" outlineLevel="1" x14ac:dyDescent="0.25">
      <c r="B38" s="351" t="s">
        <v>77</v>
      </c>
      <c r="C38" s="352"/>
      <c r="D38" s="57">
        <v>75.286000000000001</v>
      </c>
      <c r="E38" s="57">
        <v>158.54</v>
      </c>
      <c r="F38" s="57">
        <v>42.412999999999997</v>
      </c>
      <c r="G38" s="225">
        <v>76.804000000000002</v>
      </c>
      <c r="H38" s="225">
        <v>116.702</v>
      </c>
      <c r="I38" s="225">
        <v>177.60300000000001</v>
      </c>
      <c r="J38" s="57">
        <v>38.914999999999999</v>
      </c>
      <c r="K38" s="375">
        <v>77.34899999999999</v>
      </c>
      <c r="L38" s="375">
        <v>115</v>
      </c>
      <c r="M38" s="225">
        <v>147.72999999999999</v>
      </c>
      <c r="N38" s="57">
        <v>29.963999999999999</v>
      </c>
      <c r="O38" s="549">
        <v>54.371000000000002</v>
      </c>
      <c r="P38" s="549">
        <v>82.655000000000001</v>
      </c>
      <c r="Q38" s="185">
        <v>127</v>
      </c>
      <c r="R38" s="393">
        <v>58</v>
      </c>
      <c r="S38" s="242"/>
      <c r="T38" s="242"/>
      <c r="U38" s="242"/>
      <c r="V38" s="242"/>
      <c r="W38" s="242"/>
      <c r="X38" s="242"/>
      <c r="Y38" s="242"/>
      <c r="Z38" s="242"/>
      <c r="AH38" s="593"/>
    </row>
    <row r="39" spans="2:34" s="2" customFormat="1" outlineLevel="1" x14ac:dyDescent="0.25">
      <c r="B39" s="351" t="s">
        <v>47</v>
      </c>
      <c r="C39" s="352"/>
      <c r="D39" s="147">
        <v>280.46101948</v>
      </c>
      <c r="E39" s="146">
        <v>388.05181253000006</v>
      </c>
      <c r="F39" s="147">
        <v>135.1151528100001</v>
      </c>
      <c r="G39" s="375">
        <v>274.72223496000038</v>
      </c>
      <c r="H39" s="375">
        <v>380.58449438999997</v>
      </c>
      <c r="I39" s="375">
        <v>417.17253431000034</v>
      </c>
      <c r="J39" s="147">
        <v>64.953459289999884</v>
      </c>
      <c r="K39" s="375">
        <v>117.69439123000008</v>
      </c>
      <c r="L39" s="375">
        <v>147.62584308000001</v>
      </c>
      <c r="M39" s="225">
        <v>191.72753727000025</v>
      </c>
      <c r="N39" s="146">
        <v>38.316694409999997</v>
      </c>
      <c r="O39" s="555">
        <v>120.10073489</v>
      </c>
      <c r="P39" s="549">
        <v>212.21811388999998</v>
      </c>
      <c r="Q39" s="185">
        <v>390</v>
      </c>
      <c r="R39" s="393">
        <v>174</v>
      </c>
      <c r="S39" s="242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4"/>
    </row>
    <row r="40" spans="2:34" x14ac:dyDescent="0.25">
      <c r="B40" s="355" t="s">
        <v>55</v>
      </c>
      <c r="C40" s="356"/>
      <c r="D40" s="92">
        <f t="shared" ref="D40:I40" si="9">D41+D42+D43+D44+D45+D46</f>
        <v>-7099.2659999999996</v>
      </c>
      <c r="E40" s="92">
        <f t="shared" si="9"/>
        <v>-8181.6780000000008</v>
      </c>
      <c r="F40" s="92">
        <f t="shared" si="9"/>
        <v>-2007.3749999999998</v>
      </c>
      <c r="G40" s="226">
        <f t="shared" si="9"/>
        <v>-4421.4680000000008</v>
      </c>
      <c r="H40" s="226">
        <f t="shared" si="9"/>
        <v>-6665.7370000000001</v>
      </c>
      <c r="I40" s="226">
        <f t="shared" si="9"/>
        <v>-9349.0399999999991</v>
      </c>
      <c r="J40" s="92">
        <v>-2101.3080000000004</v>
      </c>
      <c r="K40" s="226">
        <v>-4336.6129999999994</v>
      </c>
      <c r="L40" s="226">
        <v>-6699</v>
      </c>
      <c r="M40" s="226">
        <v>-8840.3419999999987</v>
      </c>
      <c r="N40" s="92">
        <f t="shared" ref="N40:Q40" si="10">N41+N42+N43+N44+N45+N46</f>
        <v>-1899</v>
      </c>
      <c r="O40" s="550">
        <f t="shared" si="10"/>
        <v>-4018</v>
      </c>
      <c r="P40" s="550">
        <f t="shared" si="10"/>
        <v>-6085</v>
      </c>
      <c r="Q40" s="186">
        <f t="shared" si="10"/>
        <v>-8602</v>
      </c>
      <c r="R40" s="578">
        <f t="shared" ref="R40" si="11">R41+R42+R43+R44+R45+R46</f>
        <v>-2179</v>
      </c>
      <c r="S40" s="242"/>
      <c r="T40" s="242"/>
      <c r="U40" s="242"/>
      <c r="V40" s="242"/>
      <c r="W40" s="242"/>
      <c r="X40" s="242"/>
      <c r="Y40" s="242"/>
      <c r="Z40" s="242"/>
    </row>
    <row r="41" spans="2:34" outlineLevel="1" x14ac:dyDescent="0.25">
      <c r="B41" s="351" t="s">
        <v>74</v>
      </c>
      <c r="C41" s="352"/>
      <c r="D41" s="57">
        <v>-4489.2920000000004</v>
      </c>
      <c r="E41" s="57">
        <v>-4565.009</v>
      </c>
      <c r="F41" s="57">
        <v>-1091.587</v>
      </c>
      <c r="G41" s="225">
        <v>-2399.5770000000002</v>
      </c>
      <c r="H41" s="225">
        <v>-3556.866</v>
      </c>
      <c r="I41" s="225">
        <v>-5059.1459999999997</v>
      </c>
      <c r="J41" s="57">
        <v>-1060.9960000000001</v>
      </c>
      <c r="K41" s="225">
        <v>-2154.1289999999999</v>
      </c>
      <c r="L41" s="225">
        <v>-3432</v>
      </c>
      <c r="M41" s="225">
        <v>-4554.5619999999999</v>
      </c>
      <c r="N41" s="57">
        <v>-968</v>
      </c>
      <c r="O41" s="549">
        <v>-2017</v>
      </c>
      <c r="P41" s="549">
        <v>-3164</v>
      </c>
      <c r="Q41" s="185">
        <v>-4632</v>
      </c>
      <c r="R41" s="393">
        <v>-1165</v>
      </c>
      <c r="S41" s="242"/>
      <c r="T41" s="242"/>
      <c r="U41" s="242"/>
      <c r="V41" s="242"/>
      <c r="W41" s="242"/>
      <c r="X41" s="242"/>
      <c r="Y41" s="242"/>
      <c r="Z41" s="242"/>
    </row>
    <row r="42" spans="2:34" outlineLevel="1" x14ac:dyDescent="0.25">
      <c r="B42" s="351" t="s">
        <v>78</v>
      </c>
      <c r="C42" s="352"/>
      <c r="D42" s="57">
        <v>-2133.7719999999999</v>
      </c>
      <c r="E42" s="57">
        <v>-2855.8220000000001</v>
      </c>
      <c r="F42" s="57">
        <v>-690.649</v>
      </c>
      <c r="G42" s="225">
        <v>-1476.0029999999999</v>
      </c>
      <c r="H42" s="225">
        <v>-2307.598</v>
      </c>
      <c r="I42" s="225">
        <v>-3217.4029999999998</v>
      </c>
      <c r="J42" s="57">
        <v>-806.18799999999999</v>
      </c>
      <c r="K42" s="225">
        <v>-1698.1610000000001</v>
      </c>
      <c r="L42" s="225">
        <v>-2498</v>
      </c>
      <c r="M42" s="225">
        <v>-3286.808</v>
      </c>
      <c r="N42" s="57">
        <v>-679</v>
      </c>
      <c r="O42" s="549">
        <v>-1466</v>
      </c>
      <c r="P42" s="549">
        <v>-2150</v>
      </c>
      <c r="Q42" s="185">
        <v>-2958</v>
      </c>
      <c r="R42" s="393">
        <v>-804</v>
      </c>
      <c r="S42" s="242"/>
      <c r="T42" s="242"/>
      <c r="U42" s="242"/>
      <c r="V42" s="242"/>
      <c r="W42" s="242"/>
      <c r="X42" s="242"/>
      <c r="Y42" s="242"/>
      <c r="Z42" s="242"/>
    </row>
    <row r="43" spans="2:34" outlineLevel="1" x14ac:dyDescent="0.25">
      <c r="B43" s="351" t="s">
        <v>79</v>
      </c>
      <c r="C43" s="352"/>
      <c r="D43" s="57">
        <v>-352.21100000000001</v>
      </c>
      <c r="E43" s="57">
        <v>-502.47</v>
      </c>
      <c r="F43" s="57">
        <v>-109.129</v>
      </c>
      <c r="G43" s="225">
        <v>-309.18900000000002</v>
      </c>
      <c r="H43" s="225">
        <v>-450.19499999999999</v>
      </c>
      <c r="I43" s="225">
        <v>-596.27300000000002</v>
      </c>
      <c r="J43" s="57">
        <v>-151.73599999999999</v>
      </c>
      <c r="K43" s="225">
        <v>-349.52</v>
      </c>
      <c r="L43" s="225">
        <v>-540</v>
      </c>
      <c r="M43" s="225">
        <v>-653.15300000000002</v>
      </c>
      <c r="N43" s="57">
        <v>-195</v>
      </c>
      <c r="O43" s="549">
        <v>-405</v>
      </c>
      <c r="P43" s="549">
        <v>-561</v>
      </c>
      <c r="Q43" s="185">
        <v>-684</v>
      </c>
      <c r="R43" s="393">
        <v>-96</v>
      </c>
      <c r="S43" s="242"/>
      <c r="T43" s="242"/>
      <c r="U43" s="242"/>
      <c r="V43" s="242"/>
      <c r="W43" s="242"/>
      <c r="X43" s="242"/>
      <c r="Y43" s="242"/>
      <c r="Z43" s="242"/>
    </row>
    <row r="44" spans="2:34" outlineLevel="1" x14ac:dyDescent="0.25">
      <c r="B44" s="351" t="s">
        <v>80</v>
      </c>
      <c r="C44" s="352"/>
      <c r="D44" s="57">
        <v>-83.582999999999998</v>
      </c>
      <c r="E44" s="57">
        <v>-125.59699999999999</v>
      </c>
      <c r="F44" s="57">
        <v>-72.540999999999997</v>
      </c>
      <c r="G44" s="225">
        <v>-136.15799999999999</v>
      </c>
      <c r="H44" s="225">
        <v>-212.023</v>
      </c>
      <c r="I44" s="225">
        <v>-282.60399999999998</v>
      </c>
      <c r="J44" s="57">
        <v>-50.228000000000002</v>
      </c>
      <c r="K44" s="225">
        <v>-78.424999999999997</v>
      </c>
      <c r="L44" s="225">
        <v>-156</v>
      </c>
      <c r="M44" s="225">
        <v>-242.934</v>
      </c>
      <c r="N44" s="57">
        <v>-41</v>
      </c>
      <c r="O44" s="549">
        <v>-96</v>
      </c>
      <c r="P44" s="549">
        <v>-155</v>
      </c>
      <c r="Q44" s="185">
        <v>-231</v>
      </c>
      <c r="R44" s="393">
        <v>-34</v>
      </c>
      <c r="S44" s="242"/>
      <c r="T44" s="242"/>
      <c r="U44" s="242"/>
      <c r="V44" s="242"/>
      <c r="W44" s="242"/>
      <c r="X44" s="242"/>
      <c r="Y44" s="242"/>
      <c r="Z44" s="242"/>
    </row>
    <row r="45" spans="2:34" outlineLevel="1" x14ac:dyDescent="0.25">
      <c r="B45" s="351" t="s">
        <v>76</v>
      </c>
      <c r="C45" s="352"/>
      <c r="D45" s="57">
        <v>-1.931</v>
      </c>
      <c r="E45" s="57">
        <v>-28.943999999999999</v>
      </c>
      <c r="F45" s="57">
        <v>-10.252000000000001</v>
      </c>
      <c r="G45" s="225">
        <v>-20.495000000000001</v>
      </c>
      <c r="H45" s="225">
        <v>-34.420999999999999</v>
      </c>
      <c r="I45" s="225">
        <v>-42.084000000000003</v>
      </c>
      <c r="J45" s="57">
        <v>-7.5830000000000002</v>
      </c>
      <c r="K45" s="225">
        <v>-15.259</v>
      </c>
      <c r="L45" s="225">
        <f>-19+0.32</f>
        <v>-18.68</v>
      </c>
      <c r="M45" s="225">
        <v>-22.972000000000001</v>
      </c>
      <c r="N45" s="57">
        <v>-3.8889999999999998</v>
      </c>
      <c r="O45" s="549">
        <v>-7.8049999999999997</v>
      </c>
      <c r="P45" s="549">
        <v>-11.722</v>
      </c>
      <c r="Q45" s="185">
        <v>-13</v>
      </c>
      <c r="R45" s="393">
        <v>-3</v>
      </c>
      <c r="S45" s="242"/>
      <c r="T45" s="242"/>
      <c r="U45" s="242"/>
      <c r="V45" s="242"/>
      <c r="W45" s="242"/>
      <c r="X45" s="242"/>
      <c r="Y45" s="242"/>
      <c r="Z45" s="242"/>
    </row>
    <row r="46" spans="2:34" outlineLevel="1" x14ac:dyDescent="0.25">
      <c r="B46" s="377" t="s">
        <v>47</v>
      </c>
      <c r="C46" s="378"/>
      <c r="D46" s="368">
        <v>-38.476999999999997</v>
      </c>
      <c r="E46" s="368">
        <v>-103.836</v>
      </c>
      <c r="F46" s="368">
        <v>-33.216999999999999</v>
      </c>
      <c r="G46" s="369">
        <v>-80.046000000000006</v>
      </c>
      <c r="H46" s="369">
        <v>-104.634</v>
      </c>
      <c r="I46" s="369">
        <v>-151.53</v>
      </c>
      <c r="J46" s="368">
        <v>-24.577000000000002</v>
      </c>
      <c r="K46" s="369">
        <v>-41.119</v>
      </c>
      <c r="L46" s="369">
        <v>-54</v>
      </c>
      <c r="M46" s="369">
        <v>-79.913000000000011</v>
      </c>
      <c r="N46" s="368">
        <v>-12.111000000000001</v>
      </c>
      <c r="O46" s="369">
        <v>-26.195</v>
      </c>
      <c r="P46" s="369">
        <v>-43.277999999999999</v>
      </c>
      <c r="Q46" s="370">
        <v>-84</v>
      </c>
      <c r="R46" s="394">
        <v>-77</v>
      </c>
      <c r="S46" s="242"/>
      <c r="T46" s="242"/>
      <c r="U46" s="242"/>
      <c r="V46" s="242"/>
      <c r="W46" s="242"/>
      <c r="X46" s="242"/>
      <c r="Y46" s="242"/>
      <c r="Z46" s="242"/>
    </row>
    <row r="47" spans="2:34" s="243" customFormat="1" x14ac:dyDescent="0.25">
      <c r="B47" s="338"/>
      <c r="C47" s="338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556"/>
      <c r="O47" s="556"/>
      <c r="P47" s="556"/>
      <c r="Q47" s="556"/>
      <c r="R47" s="231"/>
    </row>
    <row r="48" spans="2:34" s="243" customFormat="1" x14ac:dyDescent="0.25">
      <c r="B48" s="333" t="s">
        <v>126</v>
      </c>
      <c r="C48" s="339"/>
      <c r="D48" s="229">
        <f t="shared" ref="D48:I48" si="12">D30+D40</f>
        <v>13236.611000000001</v>
      </c>
      <c r="E48" s="229">
        <f t="shared" si="12"/>
        <v>13515.948008860003</v>
      </c>
      <c r="F48" s="229">
        <f t="shared" si="12"/>
        <v>3964.1550000000007</v>
      </c>
      <c r="G48" s="229">
        <f t="shared" si="12"/>
        <v>8358.1749999999993</v>
      </c>
      <c r="H48" s="229">
        <f t="shared" si="12"/>
        <v>14891.596000000001</v>
      </c>
      <c r="I48" s="229">
        <f t="shared" si="12"/>
        <v>21439.605000000003</v>
      </c>
      <c r="J48" s="229">
        <v>6690.4950000000008</v>
      </c>
      <c r="K48" s="229">
        <v>13038.813999999997</v>
      </c>
      <c r="L48" s="229">
        <v>18382</v>
      </c>
      <c r="M48" s="229">
        <v>23231.493999999999</v>
      </c>
      <c r="N48" s="553">
        <f t="shared" ref="N48:Q48" si="13">N30+N40</f>
        <v>3987</v>
      </c>
      <c r="O48" s="553">
        <f t="shared" si="13"/>
        <v>7781</v>
      </c>
      <c r="P48" s="553">
        <f t="shared" si="13"/>
        <v>11809</v>
      </c>
      <c r="Q48" s="553">
        <f t="shared" si="13"/>
        <v>15202</v>
      </c>
      <c r="R48" s="229">
        <f t="shared" ref="R48" si="14">R30+R40</f>
        <v>3195</v>
      </c>
      <c r="S48" s="334"/>
      <c r="T48" s="334"/>
      <c r="U48" s="334"/>
      <c r="V48" s="334"/>
      <c r="W48" s="334"/>
      <c r="X48" s="334"/>
      <c r="Y48" s="334"/>
      <c r="Z48" s="334"/>
    </row>
    <row r="49" spans="2:27" s="243" customFormat="1" x14ac:dyDescent="0.25">
      <c r="B49" s="338"/>
      <c r="C49" s="338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556"/>
      <c r="O49" s="556"/>
      <c r="P49" s="556"/>
      <c r="Q49" s="556"/>
      <c r="R49" s="231"/>
    </row>
    <row r="50" spans="2:27" x14ac:dyDescent="0.25">
      <c r="B50" s="379" t="s">
        <v>56</v>
      </c>
      <c r="C50" s="372"/>
      <c r="D50" s="373">
        <v>564.58199999999999</v>
      </c>
      <c r="E50" s="373">
        <v>2305.652</v>
      </c>
      <c r="F50" s="373">
        <v>536.06299999999999</v>
      </c>
      <c r="G50" s="285">
        <v>1164.7550000000001</v>
      </c>
      <c r="H50" s="285">
        <v>1839.925</v>
      </c>
      <c r="I50" s="285">
        <v>2600.422</v>
      </c>
      <c r="J50" s="373">
        <v>699.97299999999996</v>
      </c>
      <c r="K50" s="285">
        <v>1554.4090000000001</v>
      </c>
      <c r="L50" s="285">
        <v>2441</v>
      </c>
      <c r="M50" s="285">
        <v>3434.1030000000001</v>
      </c>
      <c r="N50" s="373">
        <v>921</v>
      </c>
      <c r="O50" s="285">
        <v>2025</v>
      </c>
      <c r="P50" s="285">
        <v>3233</v>
      </c>
      <c r="Q50" s="374">
        <v>4505</v>
      </c>
      <c r="R50" s="581">
        <v>20</v>
      </c>
      <c r="S50" s="242"/>
      <c r="T50" s="242"/>
      <c r="U50" s="242"/>
      <c r="V50" s="242"/>
      <c r="W50" s="242"/>
      <c r="X50" s="242"/>
      <c r="Y50" s="242"/>
      <c r="Z50" s="242"/>
    </row>
    <row r="51" spans="2:27" ht="17.100000000000001" customHeight="1" x14ac:dyDescent="0.25">
      <c r="B51" s="380" t="s">
        <v>57</v>
      </c>
      <c r="C51" s="381"/>
      <c r="D51" s="93">
        <v>-154.26300000000001</v>
      </c>
      <c r="E51" s="93">
        <v>-1159.933</v>
      </c>
      <c r="F51" s="93">
        <v>-36.125999999999998</v>
      </c>
      <c r="G51" s="227">
        <v>-1089.0340000000001</v>
      </c>
      <c r="H51" s="227">
        <v>-2673.0189999999998</v>
      </c>
      <c r="I51" s="227">
        <v>-4111.8250154046809</v>
      </c>
      <c r="J51" s="93">
        <v>-389.63099999999997</v>
      </c>
      <c r="K51" s="227">
        <v>-693.04600000000005</v>
      </c>
      <c r="L51" s="227">
        <v>-1370</v>
      </c>
      <c r="M51" s="227">
        <v>-1487.7940000000001</v>
      </c>
      <c r="N51" s="93">
        <v>1793</v>
      </c>
      <c r="O51" s="551">
        <v>1527</v>
      </c>
      <c r="P51" s="551">
        <v>942</v>
      </c>
      <c r="Q51" s="187">
        <v>409</v>
      </c>
      <c r="R51" s="579">
        <v>-629</v>
      </c>
      <c r="S51" s="242"/>
      <c r="T51" s="242"/>
      <c r="U51" s="242"/>
      <c r="V51" s="242"/>
      <c r="W51" s="242"/>
      <c r="X51" s="242"/>
      <c r="Y51" s="242"/>
      <c r="Z51" s="242"/>
    </row>
    <row r="52" spans="2:27" x14ac:dyDescent="0.25">
      <c r="B52" s="382" t="s">
        <v>59</v>
      </c>
      <c r="C52" s="344"/>
      <c r="D52" s="93">
        <v>210.541</v>
      </c>
      <c r="E52" s="93">
        <v>-460.32900000000001</v>
      </c>
      <c r="F52" s="93">
        <v>-411.11799999999999</v>
      </c>
      <c r="G52" s="227">
        <v>-527.91499999999996</v>
      </c>
      <c r="H52" s="227">
        <v>-702.39400000000001</v>
      </c>
      <c r="I52" s="227">
        <v>-1072.902</v>
      </c>
      <c r="J52" s="93">
        <v>0</v>
      </c>
      <c r="K52" s="227">
        <v>0</v>
      </c>
      <c r="L52" s="227">
        <v>0</v>
      </c>
      <c r="M52" s="227">
        <v>1.0109999999999999</v>
      </c>
      <c r="N52" s="93">
        <v>0</v>
      </c>
      <c r="O52" s="551">
        <v>0</v>
      </c>
      <c r="P52" s="551">
        <v>0</v>
      </c>
      <c r="Q52" s="187">
        <v>-297</v>
      </c>
      <c r="R52" s="579">
        <v>0</v>
      </c>
      <c r="S52" s="242"/>
      <c r="T52" s="242"/>
      <c r="U52" s="242"/>
      <c r="V52" s="242"/>
      <c r="W52" s="242"/>
      <c r="X52" s="242"/>
      <c r="Y52" s="242"/>
      <c r="Z52" s="242"/>
    </row>
    <row r="53" spans="2:27" s="2" customFormat="1" x14ac:dyDescent="0.25">
      <c r="B53" s="382" t="s">
        <v>60</v>
      </c>
      <c r="C53" s="344"/>
      <c r="D53" s="93">
        <v>-64.301000000000002</v>
      </c>
      <c r="E53" s="93">
        <v>199.53899999999999</v>
      </c>
      <c r="F53" s="93">
        <v>2.2120000000000002</v>
      </c>
      <c r="G53" s="227">
        <v>17.375</v>
      </c>
      <c r="H53" s="227">
        <v>51.037999999999997</v>
      </c>
      <c r="I53" s="227">
        <v>213.392</v>
      </c>
      <c r="J53" s="93">
        <v>9.9785980000000905</v>
      </c>
      <c r="K53" s="227">
        <v>-1431.4897976400002</v>
      </c>
      <c r="L53" s="227">
        <v>-1323</v>
      </c>
      <c r="M53" s="227">
        <v>-2009.2232154900007</v>
      </c>
      <c r="N53" s="93">
        <v>287</v>
      </c>
      <c r="O53" s="551">
        <v>601</v>
      </c>
      <c r="P53" s="551">
        <v>1021</v>
      </c>
      <c r="Q53" s="187">
        <v>1305</v>
      </c>
      <c r="R53" s="579">
        <v>428</v>
      </c>
      <c r="S53" s="242"/>
      <c r="T53" s="242"/>
      <c r="U53" s="242"/>
      <c r="V53" s="242"/>
      <c r="W53" s="242"/>
      <c r="X53" s="242"/>
      <c r="Y53" s="242"/>
      <c r="Z53" s="242"/>
    </row>
    <row r="54" spans="2:27" outlineLevel="1" x14ac:dyDescent="0.25">
      <c r="B54" s="351" t="s">
        <v>82</v>
      </c>
      <c r="C54" s="352"/>
      <c r="D54" s="57">
        <v>28.029811549999998</v>
      </c>
      <c r="E54" s="57">
        <v>138.41665846999999</v>
      </c>
      <c r="F54" s="57">
        <v>38.059028840000003</v>
      </c>
      <c r="G54" s="225">
        <v>85.147692069999991</v>
      </c>
      <c r="H54" s="225">
        <v>136.66</v>
      </c>
      <c r="I54" s="225">
        <v>192.31399999999999</v>
      </c>
      <c r="J54" s="57">
        <v>350.60750748999999</v>
      </c>
      <c r="K54" s="375">
        <v>655.86793598999998</v>
      </c>
      <c r="L54" s="375">
        <v>955</v>
      </c>
      <c r="M54" s="225">
        <v>1346.4690000000001</v>
      </c>
      <c r="N54" s="57">
        <v>344</v>
      </c>
      <c r="O54" s="549">
        <v>710.25884494000013</v>
      </c>
      <c r="P54" s="549">
        <v>1059.4614595800001</v>
      </c>
      <c r="Q54" s="185">
        <v>1308</v>
      </c>
      <c r="R54" s="393">
        <v>293</v>
      </c>
      <c r="S54" s="242"/>
      <c r="T54" s="242"/>
      <c r="U54" s="242"/>
      <c r="V54" s="242"/>
      <c r="W54" s="242"/>
      <c r="X54" s="242"/>
      <c r="Y54" s="242"/>
      <c r="Z54" s="242"/>
    </row>
    <row r="55" spans="2:27" outlineLevel="1" x14ac:dyDescent="0.25">
      <c r="B55" s="351" t="s">
        <v>175</v>
      </c>
      <c r="C55" s="352"/>
      <c r="D55" s="57">
        <v>0.6796039792892552</v>
      </c>
      <c r="E55" s="57">
        <v>36.291024188813935</v>
      </c>
      <c r="F55" s="57">
        <v>4.4472809400000006</v>
      </c>
      <c r="G55" s="225">
        <v>13.560427279999997</v>
      </c>
      <c r="H55" s="225">
        <v>40.799999999999997</v>
      </c>
      <c r="I55" s="225">
        <v>87.037000000000006</v>
      </c>
      <c r="J55" s="57">
        <v>54.580028269999993</v>
      </c>
      <c r="K55" s="375">
        <v>84.492028480000002</v>
      </c>
      <c r="L55" s="375">
        <v>110</v>
      </c>
      <c r="M55" s="225">
        <v>137.245</v>
      </c>
      <c r="N55" s="57">
        <v>14</v>
      </c>
      <c r="O55" s="549">
        <v>3</v>
      </c>
      <c r="P55" s="549">
        <v>12</v>
      </c>
      <c r="Q55" s="185">
        <v>14</v>
      </c>
      <c r="R55" s="393">
        <v>3</v>
      </c>
      <c r="S55" s="242"/>
      <c r="T55" s="242"/>
      <c r="U55" s="242"/>
      <c r="V55" s="242"/>
      <c r="W55" s="242"/>
      <c r="X55" s="242"/>
      <c r="Y55" s="242"/>
      <c r="Z55" s="242"/>
    </row>
    <row r="56" spans="2:27" outlineLevel="1" x14ac:dyDescent="0.25">
      <c r="B56" s="351" t="s">
        <v>47</v>
      </c>
      <c r="C56" s="352"/>
      <c r="D56" s="57">
        <v>-93.010415529289247</v>
      </c>
      <c r="E56" s="57">
        <v>24.831317341186065</v>
      </c>
      <c r="F56" s="57">
        <v>-40.294309779999999</v>
      </c>
      <c r="G56" s="225">
        <v>-81.33311934999999</v>
      </c>
      <c r="H56" s="225">
        <v>-126.422</v>
      </c>
      <c r="I56" s="225">
        <v>-65.959000000000003</v>
      </c>
      <c r="J56" s="57">
        <v>-17.856535759999964</v>
      </c>
      <c r="K56" s="375">
        <f>-25.10581247</f>
        <v>-25.10581247</v>
      </c>
      <c r="L56" s="375">
        <v>-76</v>
      </c>
      <c r="M56" s="225">
        <v>-98.549999999999756</v>
      </c>
      <c r="N56" s="57">
        <v>-71</v>
      </c>
      <c r="O56" s="549">
        <v>-112.25884494000013</v>
      </c>
      <c r="P56" s="549">
        <f>P53-P54-P55-P57</f>
        <v>-50.46145958000011</v>
      </c>
      <c r="Q56" s="185">
        <f>Q53-Q54-Q55-Q57</f>
        <v>-17</v>
      </c>
      <c r="R56" s="393">
        <f>R53-R54-R55-R57</f>
        <v>132</v>
      </c>
      <c r="S56" s="242"/>
      <c r="T56" s="242"/>
      <c r="U56" s="242"/>
      <c r="V56" s="242"/>
      <c r="W56" s="242"/>
      <c r="X56" s="242"/>
      <c r="Y56" s="242"/>
      <c r="Z56" s="242"/>
    </row>
    <row r="57" spans="2:27" outlineLevel="1" x14ac:dyDescent="0.25">
      <c r="B57" s="377" t="s">
        <v>139</v>
      </c>
      <c r="C57" s="378"/>
      <c r="D57" s="368">
        <v>0</v>
      </c>
      <c r="E57" s="368">
        <v>0</v>
      </c>
      <c r="F57" s="368">
        <v>0</v>
      </c>
      <c r="G57" s="369">
        <v>0</v>
      </c>
      <c r="H57" s="369">
        <v>0</v>
      </c>
      <c r="I57" s="369">
        <v>0</v>
      </c>
      <c r="J57" s="368">
        <v>-377.35240199999993</v>
      </c>
      <c r="K57" s="383">
        <v>-2146.7439496400002</v>
      </c>
      <c r="L57" s="383">
        <v>-2312</v>
      </c>
      <c r="M57" s="369">
        <v>-3394.3872154900009</v>
      </c>
      <c r="N57" s="368">
        <v>0</v>
      </c>
      <c r="O57" s="369">
        <v>0</v>
      </c>
      <c r="P57" s="369">
        <v>0</v>
      </c>
      <c r="Q57" s="370">
        <v>0</v>
      </c>
      <c r="R57" s="394">
        <v>0</v>
      </c>
      <c r="S57" s="242"/>
      <c r="T57" s="242"/>
      <c r="U57" s="242"/>
      <c r="V57" s="242"/>
      <c r="W57" s="242"/>
      <c r="X57" s="242"/>
      <c r="Y57" s="242"/>
      <c r="Z57" s="242"/>
    </row>
    <row r="58" spans="2:27" s="243" customFormat="1" x14ac:dyDescent="0.25">
      <c r="B58" s="340"/>
      <c r="C58" s="34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556"/>
      <c r="O58" s="556"/>
      <c r="P58" s="556"/>
      <c r="Q58" s="556"/>
      <c r="R58" s="231"/>
    </row>
    <row r="59" spans="2:27" s="243" customFormat="1" x14ac:dyDescent="0.25">
      <c r="B59" s="341" t="s">
        <v>61</v>
      </c>
      <c r="C59" s="341"/>
      <c r="D59" s="229">
        <f t="shared" ref="D59:L59" si="15">D29+D48+D50+D52+D53</f>
        <v>13403.391000000001</v>
      </c>
      <c r="E59" s="229">
        <f t="shared" si="15"/>
        <v>19285.27300886</v>
      </c>
      <c r="F59" s="229">
        <f t="shared" si="15"/>
        <v>5255.3190000000004</v>
      </c>
      <c r="G59" s="229">
        <f t="shared" si="15"/>
        <v>11380.606</v>
      </c>
      <c r="H59" s="229">
        <f t="shared" si="15"/>
        <v>20139.884000000002</v>
      </c>
      <c r="I59" s="229">
        <f t="shared" si="15"/>
        <v>28578.042000000001</v>
      </c>
      <c r="J59" s="229">
        <v>8970.770598000001</v>
      </c>
      <c r="K59" s="229">
        <v>14061.830202359995</v>
      </c>
      <c r="L59" s="229">
        <f t="shared" si="15"/>
        <v>21612</v>
      </c>
      <c r="M59" s="229">
        <v>28346.692784509996</v>
      </c>
      <c r="N59" s="553">
        <f t="shared" ref="N59" si="16">N29+N48+N50+N52+N53</f>
        <v>3080</v>
      </c>
      <c r="O59" s="553">
        <v>7947</v>
      </c>
      <c r="P59" s="553">
        <f t="shared" ref="P59:Q59" si="17">P29+P48+P50+P52+P53</f>
        <v>15927</v>
      </c>
      <c r="Q59" s="553">
        <f t="shared" si="17"/>
        <v>20994</v>
      </c>
      <c r="R59" s="229">
        <f t="shared" ref="R59" si="18">R29+R48+R50+R52+R53</f>
        <v>4247</v>
      </c>
      <c r="S59" s="334"/>
      <c r="T59" s="334"/>
      <c r="U59" s="334"/>
      <c r="V59" s="334"/>
      <c r="W59" s="334"/>
      <c r="X59" s="334"/>
      <c r="Y59" s="334"/>
      <c r="Z59" s="334"/>
    </row>
    <row r="60" spans="2:27" s="243" customFormat="1" x14ac:dyDescent="0.25">
      <c r="B60" s="342"/>
      <c r="C60" s="342"/>
      <c r="D60" s="231"/>
      <c r="E60" s="231"/>
      <c r="F60" s="231"/>
      <c r="G60" s="231"/>
      <c r="H60" s="231"/>
      <c r="I60" s="231"/>
      <c r="J60" s="231"/>
      <c r="K60" s="231"/>
      <c r="L60" s="231"/>
      <c r="M60" s="155"/>
      <c r="N60" s="430"/>
      <c r="O60" s="430"/>
      <c r="P60" s="430"/>
      <c r="Q60" s="430"/>
      <c r="R60" s="430"/>
      <c r="S60" s="343"/>
      <c r="T60" s="343"/>
      <c r="U60" s="343"/>
      <c r="V60" s="343"/>
    </row>
    <row r="61" spans="2:27" s="243" customFormat="1" x14ac:dyDescent="0.25">
      <c r="B61" s="384" t="s">
        <v>62</v>
      </c>
      <c r="C61" s="385"/>
      <c r="D61" s="392">
        <v>-14815.316000000001</v>
      </c>
      <c r="E61" s="392">
        <v>-15331.677999999998</v>
      </c>
      <c r="F61" s="391">
        <v>-4373.8090000000002</v>
      </c>
      <c r="G61" s="386">
        <v>-8944.8000000000011</v>
      </c>
      <c r="H61" s="386">
        <v>-14193.397999999999</v>
      </c>
      <c r="I61" s="388">
        <v>-20135.883999999998</v>
      </c>
      <c r="J61" s="391">
        <f>-SUM(J62:J71)</f>
        <v>-5321.5475980000001</v>
      </c>
      <c r="K61" s="387">
        <f t="shared" ref="K61" si="19">-SUM(K62:K71)</f>
        <v>-10108.745202360004</v>
      </c>
      <c r="L61" s="386">
        <f t="shared" ref="L61:Q61" si="20">-SUM(L62:L71)</f>
        <v>-16377.6</v>
      </c>
      <c r="M61" s="388">
        <f t="shared" si="20"/>
        <v>-24568.767741670003</v>
      </c>
      <c r="N61" s="391">
        <f t="shared" si="20"/>
        <v>-4644</v>
      </c>
      <c r="O61" s="386">
        <f t="shared" si="20"/>
        <v>-10271</v>
      </c>
      <c r="P61" s="386">
        <f t="shared" si="20"/>
        <v>-16412</v>
      </c>
      <c r="Q61" s="388">
        <f t="shared" si="20"/>
        <v>-23920</v>
      </c>
      <c r="R61" s="392">
        <f t="shared" ref="R61" si="21">-SUM(R62:R71)</f>
        <v>-6792</v>
      </c>
      <c r="S61" s="334"/>
      <c r="T61" s="334"/>
      <c r="U61" s="334"/>
      <c r="V61" s="334"/>
      <c r="W61" s="334"/>
      <c r="X61" s="334"/>
      <c r="Y61" s="334"/>
      <c r="Z61" s="334"/>
      <c r="AA61" s="334"/>
    </row>
    <row r="62" spans="2:27" outlineLevel="1" x14ac:dyDescent="0.25">
      <c r="B62" s="351" t="s">
        <v>83</v>
      </c>
      <c r="C62" s="352"/>
      <c r="D62" s="393">
        <v>6350.509</v>
      </c>
      <c r="E62" s="393">
        <v>7430.94</v>
      </c>
      <c r="F62" s="57">
        <v>2163.971</v>
      </c>
      <c r="G62" s="225">
        <v>4470.3270000000002</v>
      </c>
      <c r="H62" s="225">
        <v>7341.5190000000002</v>
      </c>
      <c r="I62" s="185">
        <v>10231.636</v>
      </c>
      <c r="J62" s="57">
        <v>2648.9157413270686</v>
      </c>
      <c r="K62" s="225">
        <f>4740.36954957928</f>
        <v>4740.3695495792799</v>
      </c>
      <c r="L62" s="389">
        <v>8026.8</v>
      </c>
      <c r="M62" s="185">
        <v>12552.254728666599</v>
      </c>
      <c r="N62" s="57">
        <v>2025</v>
      </c>
      <c r="O62" s="549">
        <v>4816</v>
      </c>
      <c r="P62" s="549">
        <v>8183</v>
      </c>
      <c r="Q62" s="185">
        <v>12366</v>
      </c>
      <c r="R62" s="393">
        <v>3560</v>
      </c>
      <c r="S62" s="242"/>
      <c r="T62" s="242"/>
      <c r="U62" s="242"/>
      <c r="V62" s="242"/>
      <c r="W62" s="242"/>
      <c r="X62" s="242"/>
      <c r="Y62" s="242"/>
      <c r="Z62" s="242"/>
    </row>
    <row r="63" spans="2:27" outlineLevel="1" x14ac:dyDescent="0.25">
      <c r="B63" s="351" t="s">
        <v>84</v>
      </c>
      <c r="C63" s="352"/>
      <c r="D63" s="393">
        <v>1271.6120000000001</v>
      </c>
      <c r="E63" s="393">
        <v>1636.4770000000001</v>
      </c>
      <c r="F63" s="57">
        <v>550.79100000000005</v>
      </c>
      <c r="G63" s="225">
        <v>1060.8869999999999</v>
      </c>
      <c r="H63" s="225">
        <v>1670.7460000000001</v>
      </c>
      <c r="I63" s="185">
        <v>2267.377</v>
      </c>
      <c r="J63" s="57">
        <v>703.52485667293149</v>
      </c>
      <c r="K63" s="225">
        <v>1248.4056527807245</v>
      </c>
      <c r="L63" s="389">
        <v>1938.8</v>
      </c>
      <c r="M63" s="185">
        <v>2937.1590130034001</v>
      </c>
      <c r="N63" s="57">
        <v>616</v>
      </c>
      <c r="O63" s="549">
        <v>1287</v>
      </c>
      <c r="P63" s="549">
        <v>1992</v>
      </c>
      <c r="Q63" s="185">
        <v>2871</v>
      </c>
      <c r="R63" s="393">
        <v>978</v>
      </c>
      <c r="S63" s="242"/>
      <c r="T63" s="242"/>
      <c r="U63" s="242"/>
      <c r="V63" s="242"/>
      <c r="W63" s="242"/>
      <c r="X63" s="242"/>
      <c r="Y63" s="242"/>
      <c r="Z63" s="242"/>
    </row>
    <row r="64" spans="2:27" outlineLevel="1" x14ac:dyDescent="0.25">
      <c r="B64" s="351" t="s">
        <v>85</v>
      </c>
      <c r="C64" s="352"/>
      <c r="D64" s="393">
        <v>1390.26</v>
      </c>
      <c r="E64" s="393">
        <v>1628.3150000000001</v>
      </c>
      <c r="F64" s="57">
        <v>489.48500000000001</v>
      </c>
      <c r="G64" s="225">
        <v>986.49800000000005</v>
      </c>
      <c r="H64" s="225">
        <v>1477.8119999999999</v>
      </c>
      <c r="I64" s="185">
        <v>2001.6679999999999</v>
      </c>
      <c r="J64" s="57">
        <v>573.24</v>
      </c>
      <c r="K64" s="225">
        <v>1166.895</v>
      </c>
      <c r="L64" s="389">
        <v>1788</v>
      </c>
      <c r="M64" s="185">
        <v>2415.0479999999998</v>
      </c>
      <c r="N64" s="57">
        <v>738</v>
      </c>
      <c r="O64" s="549">
        <v>1447</v>
      </c>
      <c r="P64" s="549">
        <v>2150</v>
      </c>
      <c r="Q64" s="185">
        <v>2889</v>
      </c>
      <c r="R64" s="393">
        <v>761</v>
      </c>
      <c r="S64" s="242"/>
      <c r="T64" s="242"/>
      <c r="U64" s="242"/>
      <c r="V64" s="242"/>
      <c r="W64" s="242"/>
      <c r="X64" s="242"/>
      <c r="Y64" s="242"/>
      <c r="Z64" s="242"/>
    </row>
    <row r="65" spans="2:26" outlineLevel="1" x14ac:dyDescent="0.25">
      <c r="B65" s="351" t="s">
        <v>86</v>
      </c>
      <c r="C65" s="352"/>
      <c r="D65" s="393">
        <v>1222.202</v>
      </c>
      <c r="E65" s="393">
        <v>983.26099999999997</v>
      </c>
      <c r="F65" s="57">
        <v>350.66399999999999</v>
      </c>
      <c r="G65" s="225">
        <v>738.47799999999995</v>
      </c>
      <c r="H65" s="225">
        <v>1099.297</v>
      </c>
      <c r="I65" s="185">
        <v>1501.8989999999999</v>
      </c>
      <c r="J65" s="57">
        <v>495.255</v>
      </c>
      <c r="K65" s="225">
        <v>974.23199999999997</v>
      </c>
      <c r="L65" s="389">
        <v>1476</v>
      </c>
      <c r="M65" s="185">
        <v>2084.5039999999999</v>
      </c>
      <c r="N65" s="57">
        <v>370</v>
      </c>
      <c r="O65" s="549">
        <v>743</v>
      </c>
      <c r="P65" s="549">
        <v>1087</v>
      </c>
      <c r="Q65" s="185">
        <v>1633</v>
      </c>
      <c r="R65" s="393">
        <v>359</v>
      </c>
      <c r="S65" s="242"/>
      <c r="T65" s="242"/>
      <c r="U65" s="242"/>
      <c r="V65" s="242"/>
      <c r="W65" s="242"/>
      <c r="X65" s="242"/>
      <c r="Y65" s="242"/>
      <c r="Z65" s="242"/>
    </row>
    <row r="66" spans="2:26" outlineLevel="1" x14ac:dyDescent="0.25">
      <c r="B66" s="351" t="s">
        <v>87</v>
      </c>
      <c r="C66" s="352"/>
      <c r="D66" s="393">
        <v>444.18200000000002</v>
      </c>
      <c r="E66" s="393">
        <v>658.90800000000002</v>
      </c>
      <c r="F66" s="57">
        <v>187.904</v>
      </c>
      <c r="G66" s="225">
        <v>449.64299999999997</v>
      </c>
      <c r="H66" s="225">
        <v>711.04700000000003</v>
      </c>
      <c r="I66" s="185">
        <v>1056.539</v>
      </c>
      <c r="J66" s="57">
        <v>286.60500000000002</v>
      </c>
      <c r="K66" s="375">
        <v>617.99</v>
      </c>
      <c r="L66" s="224">
        <v>935</v>
      </c>
      <c r="M66" s="185">
        <v>1279.9459999999999</v>
      </c>
      <c r="N66" s="57">
        <v>182</v>
      </c>
      <c r="O66" s="549">
        <v>493</v>
      </c>
      <c r="P66" s="549">
        <v>718</v>
      </c>
      <c r="Q66" s="185">
        <v>1028</v>
      </c>
      <c r="R66" s="393">
        <v>175</v>
      </c>
      <c r="S66" s="242"/>
      <c r="T66" s="242"/>
      <c r="U66" s="242"/>
      <c r="V66" s="242"/>
      <c r="W66" s="242"/>
      <c r="X66" s="242"/>
      <c r="Y66" s="242"/>
      <c r="Z66" s="242"/>
    </row>
    <row r="67" spans="2:26" outlineLevel="1" x14ac:dyDescent="0.25">
      <c r="B67" s="351" t="s">
        <v>88</v>
      </c>
      <c r="C67" s="352"/>
      <c r="D67" s="393">
        <v>808.20100000000002</v>
      </c>
      <c r="E67" s="393">
        <v>427.81400000000002</v>
      </c>
      <c r="F67" s="57">
        <v>35.884999999999998</v>
      </c>
      <c r="G67" s="225">
        <v>112.895</v>
      </c>
      <c r="H67" s="225">
        <v>222.20699999999999</v>
      </c>
      <c r="I67" s="185">
        <v>525.92200000000003</v>
      </c>
      <c r="J67" s="57">
        <v>86.674999999999997</v>
      </c>
      <c r="K67" s="225">
        <v>261.71199999999999</v>
      </c>
      <c r="L67" s="389">
        <v>425</v>
      </c>
      <c r="M67" s="185">
        <v>701.64200000000005</v>
      </c>
      <c r="N67" s="57">
        <v>101</v>
      </c>
      <c r="O67" s="549">
        <v>201</v>
      </c>
      <c r="P67" s="549">
        <v>281</v>
      </c>
      <c r="Q67" s="185">
        <v>385</v>
      </c>
      <c r="R67" s="393">
        <v>120</v>
      </c>
      <c r="S67" s="242"/>
      <c r="T67" s="242"/>
      <c r="U67" s="242"/>
      <c r="V67" s="242"/>
      <c r="W67" s="242"/>
      <c r="X67" s="242"/>
      <c r="Y67" s="242"/>
      <c r="Z67" s="242"/>
    </row>
    <row r="68" spans="2:26" outlineLevel="1" x14ac:dyDescent="0.25">
      <c r="B68" s="351" t="s">
        <v>89</v>
      </c>
      <c r="C68" s="352"/>
      <c r="D68" s="393">
        <v>526.18299999999999</v>
      </c>
      <c r="E68" s="393">
        <v>577.50800000000004</v>
      </c>
      <c r="F68" s="57">
        <v>80.055999999999997</v>
      </c>
      <c r="G68" s="225">
        <v>160.52799999999999</v>
      </c>
      <c r="H68" s="225">
        <v>237.00200000000001</v>
      </c>
      <c r="I68" s="185">
        <v>377.197</v>
      </c>
      <c r="J68" s="57">
        <v>105.28700000000001</v>
      </c>
      <c r="K68" s="225">
        <v>213.11199999999999</v>
      </c>
      <c r="L68" s="389">
        <v>327</v>
      </c>
      <c r="M68" s="185">
        <v>471.72300000000001</v>
      </c>
      <c r="N68" s="57">
        <v>118</v>
      </c>
      <c r="O68" s="549">
        <v>254</v>
      </c>
      <c r="P68" s="549">
        <v>419</v>
      </c>
      <c r="Q68" s="185">
        <v>650</v>
      </c>
      <c r="R68" s="393">
        <v>194</v>
      </c>
      <c r="S68" s="242"/>
      <c r="T68" s="242"/>
      <c r="U68" s="242"/>
      <c r="V68" s="242"/>
      <c r="W68" s="242"/>
      <c r="X68" s="242"/>
      <c r="Y68" s="242"/>
      <c r="Z68" s="242"/>
    </row>
    <row r="69" spans="2:26" outlineLevel="1" x14ac:dyDescent="0.25">
      <c r="B69" s="351" t="s">
        <v>90</v>
      </c>
      <c r="C69" s="352"/>
      <c r="D69" s="393">
        <v>466.53800000000001</v>
      </c>
      <c r="E69" s="393">
        <v>482.779</v>
      </c>
      <c r="F69" s="57">
        <v>89.367999999999995</v>
      </c>
      <c r="G69" s="225">
        <v>187.148</v>
      </c>
      <c r="H69" s="225">
        <v>276.46800000000002</v>
      </c>
      <c r="I69" s="185">
        <v>389.28</v>
      </c>
      <c r="J69" s="57">
        <v>98.644000000000005</v>
      </c>
      <c r="K69" s="225">
        <v>187.33099999999999</v>
      </c>
      <c r="L69" s="389">
        <v>297</v>
      </c>
      <c r="M69" s="185">
        <v>432.65100000000001</v>
      </c>
      <c r="N69" s="57">
        <v>88</v>
      </c>
      <c r="O69" s="549">
        <v>227</v>
      </c>
      <c r="P69" s="549">
        <v>381</v>
      </c>
      <c r="Q69" s="185">
        <v>573</v>
      </c>
      <c r="R69" s="393">
        <v>150</v>
      </c>
      <c r="S69" s="242"/>
      <c r="T69" s="242"/>
      <c r="U69" s="242"/>
      <c r="V69" s="242"/>
      <c r="W69" s="242"/>
      <c r="X69" s="242"/>
      <c r="Y69" s="242"/>
      <c r="Z69" s="242"/>
    </row>
    <row r="70" spans="2:26" outlineLevel="1" x14ac:dyDescent="0.25">
      <c r="B70" s="351" t="s">
        <v>91</v>
      </c>
      <c r="C70" s="352"/>
      <c r="D70" s="393">
        <v>335.72</v>
      </c>
      <c r="E70" s="393">
        <v>366.69400000000002</v>
      </c>
      <c r="F70" s="57">
        <v>89.26</v>
      </c>
      <c r="G70" s="225">
        <v>186.71299999999999</v>
      </c>
      <c r="H70" s="225">
        <v>290.36500000000001</v>
      </c>
      <c r="I70" s="185">
        <v>393.70299999999997</v>
      </c>
      <c r="J70" s="57">
        <v>101.336</v>
      </c>
      <c r="K70" s="225">
        <v>196.983</v>
      </c>
      <c r="L70" s="389">
        <v>294</v>
      </c>
      <c r="M70" s="185">
        <v>388.63799999999998</v>
      </c>
      <c r="N70" s="57">
        <v>90</v>
      </c>
      <c r="O70" s="549">
        <v>179</v>
      </c>
      <c r="P70" s="549">
        <v>269</v>
      </c>
      <c r="Q70" s="185">
        <v>357</v>
      </c>
      <c r="R70" s="393">
        <v>82</v>
      </c>
      <c r="S70" s="242"/>
      <c r="T70" s="242"/>
      <c r="U70" s="242"/>
      <c r="V70" s="242"/>
      <c r="W70" s="242"/>
      <c r="X70" s="242"/>
      <c r="Y70" s="242"/>
      <c r="Z70" s="242"/>
    </row>
    <row r="71" spans="2:26" outlineLevel="1" x14ac:dyDescent="0.25">
      <c r="B71" s="377" t="s">
        <v>92</v>
      </c>
      <c r="C71" s="378"/>
      <c r="D71" s="394">
        <v>1999.9089999999997</v>
      </c>
      <c r="E71" s="394">
        <v>1138.982</v>
      </c>
      <c r="F71" s="368">
        <v>336.42499999999995</v>
      </c>
      <c r="G71" s="369">
        <v>591.68299999999999</v>
      </c>
      <c r="H71" s="369">
        <v>866.93499999999995</v>
      </c>
      <c r="I71" s="370">
        <v>1390.663</v>
      </c>
      <c r="J71" s="368">
        <v>222.065</v>
      </c>
      <c r="K71" s="369">
        <v>501.71500000000003</v>
      </c>
      <c r="L71" s="390">
        <v>870</v>
      </c>
      <c r="M71" s="370">
        <v>1305.2019999999998</v>
      </c>
      <c r="N71" s="368">
        <v>316</v>
      </c>
      <c r="O71" s="369">
        <v>624</v>
      </c>
      <c r="P71" s="369">
        <v>932</v>
      </c>
      <c r="Q71" s="370">
        <v>1168</v>
      </c>
      <c r="R71" s="394">
        <v>413</v>
      </c>
      <c r="S71" s="242"/>
      <c r="T71" s="242"/>
      <c r="U71" s="242"/>
      <c r="V71" s="242"/>
      <c r="W71" s="242"/>
      <c r="X71" s="242"/>
      <c r="Y71" s="242"/>
      <c r="Z71" s="242"/>
    </row>
    <row r="72" spans="2:26" s="243" customFormat="1" x14ac:dyDescent="0.25">
      <c r="B72" s="340"/>
      <c r="C72" s="332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556"/>
      <c r="O72" s="556"/>
      <c r="P72" s="556"/>
      <c r="Q72" s="556"/>
      <c r="R72" s="231"/>
    </row>
    <row r="73" spans="2:26" s="243" customFormat="1" x14ac:dyDescent="0.25">
      <c r="B73" s="341" t="s">
        <v>63</v>
      </c>
      <c r="C73" s="341"/>
      <c r="D73" s="229">
        <f t="shared" ref="D73:Q73" si="22">D27+D59+D61+D51</f>
        <v>6316.7002737500052</v>
      </c>
      <c r="E73" s="229">
        <f t="shared" si="22"/>
        <v>4259.1094816200084</v>
      </c>
      <c r="F73" s="229">
        <f t="shared" si="22"/>
        <v>3175.3140000000012</v>
      </c>
      <c r="G73" s="229">
        <f t="shared" si="22"/>
        <v>6523.4039999999968</v>
      </c>
      <c r="H73" s="229">
        <f t="shared" si="22"/>
        <v>12191.633</v>
      </c>
      <c r="I73" s="229">
        <f t="shared" si="22"/>
        <v>14361.81800000001</v>
      </c>
      <c r="J73" s="229">
        <f t="shared" si="22"/>
        <v>4112.0299999999934</v>
      </c>
      <c r="K73" s="229">
        <f t="shared" si="22"/>
        <v>8611.2049999999908</v>
      </c>
      <c r="L73" s="229">
        <f t="shared" si="22"/>
        <v>13369.4</v>
      </c>
      <c r="M73" s="229">
        <f t="shared" si="22"/>
        <v>12948.174042839995</v>
      </c>
      <c r="N73" s="553">
        <f t="shared" si="22"/>
        <v>2108</v>
      </c>
      <c r="O73" s="553">
        <f t="shared" si="22"/>
        <v>6050</v>
      </c>
      <c r="P73" s="553">
        <f t="shared" si="22"/>
        <v>13376</v>
      </c>
      <c r="Q73" s="553">
        <f t="shared" si="22"/>
        <v>18732</v>
      </c>
      <c r="R73" s="229">
        <f t="shared" ref="R73" si="23">R27+R59+R61+R51</f>
        <v>3685</v>
      </c>
      <c r="S73" s="334"/>
      <c r="T73" s="334"/>
      <c r="U73" s="334"/>
      <c r="V73" s="334"/>
      <c r="W73" s="334"/>
      <c r="X73" s="334"/>
      <c r="Y73" s="334"/>
      <c r="Z73" s="334"/>
    </row>
    <row r="74" spans="2:26" s="243" customFormat="1" x14ac:dyDescent="0.25">
      <c r="B74" s="336"/>
      <c r="C74" s="336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552"/>
      <c r="O74" s="552"/>
      <c r="P74" s="552"/>
      <c r="Q74" s="552"/>
      <c r="R74" s="228"/>
    </row>
    <row r="75" spans="2:26" s="243" customFormat="1" x14ac:dyDescent="0.25">
      <c r="B75" s="344" t="s">
        <v>64</v>
      </c>
      <c r="C75" s="344"/>
      <c r="D75" s="227">
        <v>-1009.105</v>
      </c>
      <c r="E75" s="227">
        <v>-969.08</v>
      </c>
      <c r="F75" s="227">
        <v>-309.03199999999998</v>
      </c>
      <c r="G75" s="227">
        <v>-651.36099999999999</v>
      </c>
      <c r="H75" s="227">
        <v>-1166.231</v>
      </c>
      <c r="I75" s="227">
        <v>-1904.623</v>
      </c>
      <c r="J75" s="227">
        <v>-248.26300000000001</v>
      </c>
      <c r="K75" s="227">
        <v>-841.13099999999997</v>
      </c>
      <c r="L75" s="227">
        <v>-1509</v>
      </c>
      <c r="M75" s="227">
        <v>-577.70699999999999</v>
      </c>
      <c r="N75" s="551">
        <v>-1136</v>
      </c>
      <c r="O75" s="551">
        <v>-2583</v>
      </c>
      <c r="P75" s="551">
        <v>-3910</v>
      </c>
      <c r="Q75" s="551">
        <v>-4295</v>
      </c>
      <c r="R75" s="227">
        <v>-1178</v>
      </c>
      <c r="S75" s="334"/>
      <c r="T75" s="334"/>
      <c r="U75" s="334"/>
      <c r="V75" s="334"/>
      <c r="W75" s="334"/>
      <c r="X75" s="334"/>
      <c r="Y75" s="334"/>
      <c r="Z75" s="334"/>
    </row>
    <row r="76" spans="2:26" s="243" customFormat="1" x14ac:dyDescent="0.25">
      <c r="B76" s="342"/>
      <c r="C76" s="342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556"/>
      <c r="O76" s="556"/>
      <c r="P76" s="556"/>
      <c r="Q76" s="556"/>
      <c r="R76" s="231"/>
    </row>
    <row r="77" spans="2:26" s="243" customFormat="1" x14ac:dyDescent="0.25">
      <c r="B77" s="341" t="s">
        <v>65</v>
      </c>
      <c r="C77" s="345"/>
      <c r="D77" s="229">
        <v>5307.5952737500029</v>
      </c>
      <c r="E77" s="229">
        <v>3290.0294816200076</v>
      </c>
      <c r="F77" s="229">
        <f t="shared" ref="F77:K77" si="24">F73+F75</f>
        <v>2866.2820000000011</v>
      </c>
      <c r="G77" s="229">
        <f t="shared" si="24"/>
        <v>5872.0429999999969</v>
      </c>
      <c r="H77" s="229">
        <f t="shared" si="24"/>
        <v>11025.402</v>
      </c>
      <c r="I77" s="229">
        <f t="shared" si="24"/>
        <v>12457.195000000011</v>
      </c>
      <c r="J77" s="229">
        <f t="shared" si="24"/>
        <v>3863.7669999999935</v>
      </c>
      <c r="K77" s="229">
        <f t="shared" si="24"/>
        <v>7770.0739999999905</v>
      </c>
      <c r="L77" s="229">
        <f t="shared" ref="L77:N77" si="25">L73+L75</f>
        <v>11860.4</v>
      </c>
      <c r="M77" s="229">
        <f t="shared" si="25"/>
        <v>12370.467042839995</v>
      </c>
      <c r="N77" s="553">
        <f t="shared" si="25"/>
        <v>972</v>
      </c>
      <c r="O77" s="553">
        <v>3467</v>
      </c>
      <c r="P77" s="553">
        <f t="shared" ref="P77:Q77" si="26">P73+P75</f>
        <v>9466</v>
      </c>
      <c r="Q77" s="553">
        <f t="shared" si="26"/>
        <v>14437</v>
      </c>
      <c r="R77" s="229">
        <f t="shared" ref="R77" si="27">R73+R75</f>
        <v>2507</v>
      </c>
      <c r="S77" s="334"/>
      <c r="T77" s="334"/>
      <c r="U77" s="334"/>
      <c r="V77" s="334"/>
      <c r="W77" s="334"/>
      <c r="X77" s="334"/>
      <c r="Y77" s="334"/>
      <c r="Z77" s="334"/>
    </row>
    <row r="78" spans="2:26" s="348" customFormat="1" x14ac:dyDescent="0.25">
      <c r="B78" s="346"/>
      <c r="C78" s="347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552"/>
      <c r="O78" s="552"/>
      <c r="P78" s="552"/>
      <c r="Q78" s="552"/>
      <c r="R78" s="241"/>
      <c r="S78" s="243"/>
      <c r="T78" s="243"/>
      <c r="U78" s="243"/>
      <c r="V78" s="243"/>
    </row>
    <row r="79" spans="2:26" s="243" customFormat="1" x14ac:dyDescent="0.25">
      <c r="B79" s="349" t="s">
        <v>171</v>
      </c>
      <c r="C79" s="345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553"/>
      <c r="O79" s="553"/>
      <c r="P79" s="553"/>
      <c r="Q79" s="553"/>
      <c r="R79" s="229"/>
    </row>
    <row r="80" spans="2:26" x14ac:dyDescent="0.25">
      <c r="B80" s="105" t="s">
        <v>169</v>
      </c>
      <c r="C80" s="111"/>
      <c r="D80" s="107">
        <f>D77</f>
        <v>5307.5952737500029</v>
      </c>
      <c r="E80" s="107">
        <f t="shared" ref="E80:O80" si="28">E77</f>
        <v>3290.0294816200076</v>
      </c>
      <c r="F80" s="106">
        <f t="shared" si="28"/>
        <v>2866.2820000000011</v>
      </c>
      <c r="G80" s="106">
        <f t="shared" si="28"/>
        <v>5872.0429999999969</v>
      </c>
      <c r="H80" s="106">
        <f t="shared" si="28"/>
        <v>11025.402</v>
      </c>
      <c r="I80" s="107">
        <f t="shared" si="28"/>
        <v>12457.195000000011</v>
      </c>
      <c r="J80" s="106">
        <f t="shared" si="28"/>
        <v>3863.7669999999935</v>
      </c>
      <c r="K80" s="106">
        <f t="shared" si="28"/>
        <v>7770.0739999999905</v>
      </c>
      <c r="L80" s="106">
        <f t="shared" si="28"/>
        <v>11860.4</v>
      </c>
      <c r="M80" s="107">
        <f t="shared" si="28"/>
        <v>12370.467042839995</v>
      </c>
      <c r="N80" s="106">
        <f t="shared" si="28"/>
        <v>972</v>
      </c>
      <c r="O80" s="106">
        <f t="shared" si="28"/>
        <v>3467</v>
      </c>
      <c r="P80" s="106">
        <f>P77-P81</f>
        <v>9460</v>
      </c>
      <c r="Q80" s="107">
        <f>Q77-Q81</f>
        <v>14431</v>
      </c>
      <c r="R80" s="582">
        <f>R77-R81</f>
        <v>2506</v>
      </c>
    </row>
    <row r="81" spans="2:18" x14ac:dyDescent="0.25">
      <c r="B81" s="108" t="s">
        <v>170</v>
      </c>
      <c r="C81" s="112"/>
      <c r="D81" s="539">
        <v>0</v>
      </c>
      <c r="E81" s="539">
        <v>0</v>
      </c>
      <c r="F81" s="538">
        <v>0</v>
      </c>
      <c r="G81" s="538">
        <v>0</v>
      </c>
      <c r="H81" s="538">
        <v>0</v>
      </c>
      <c r="I81" s="539">
        <v>0</v>
      </c>
      <c r="J81" s="538">
        <v>0</v>
      </c>
      <c r="K81" s="538">
        <v>0</v>
      </c>
      <c r="L81" s="538">
        <v>0</v>
      </c>
      <c r="M81" s="539">
        <v>0</v>
      </c>
      <c r="N81" s="538">
        <v>0</v>
      </c>
      <c r="O81" s="538">
        <v>0</v>
      </c>
      <c r="P81" s="538">
        <v>6</v>
      </c>
      <c r="Q81" s="539">
        <v>6</v>
      </c>
      <c r="R81" s="583">
        <v>1</v>
      </c>
    </row>
    <row r="82" spans="2:18" x14ac:dyDescent="0.25">
      <c r="B82" s="342"/>
      <c r="C82" s="34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557"/>
      <c r="O82" s="557"/>
      <c r="P82" s="557"/>
      <c r="Q82" s="557"/>
      <c r="R82" s="232"/>
    </row>
    <row r="83" spans="2:18" x14ac:dyDescent="0.25">
      <c r="B83" s="341" t="s">
        <v>165</v>
      </c>
      <c r="C83" s="345"/>
      <c r="D83" s="229">
        <f t="shared" ref="D83:N83" si="29">D18+D59</f>
        <v>32682.050273750006</v>
      </c>
      <c r="E83" s="229">
        <f t="shared" si="29"/>
        <v>43864.755481620006</v>
      </c>
      <c r="F83" s="229">
        <f t="shared" si="29"/>
        <v>13538.674000000003</v>
      </c>
      <c r="G83" s="229">
        <f t="shared" si="29"/>
        <v>28943.932999999997</v>
      </c>
      <c r="H83" s="229">
        <f t="shared" si="29"/>
        <v>46489.495999999999</v>
      </c>
      <c r="I83" s="229">
        <f t="shared" si="29"/>
        <v>64460.736000000012</v>
      </c>
      <c r="J83" s="229">
        <f t="shared" si="29"/>
        <v>18622.687597999997</v>
      </c>
      <c r="K83" s="229">
        <f t="shared" si="29"/>
        <v>34887.890202359995</v>
      </c>
      <c r="L83" s="229">
        <f t="shared" si="29"/>
        <v>53707</v>
      </c>
      <c r="M83" s="229">
        <f t="shared" si="29"/>
        <v>69906.176784509982</v>
      </c>
      <c r="N83" s="553">
        <f t="shared" si="29"/>
        <v>11747</v>
      </c>
      <c r="O83" s="553">
        <v>27295</v>
      </c>
      <c r="P83" s="553">
        <f>P18+P59</f>
        <v>47306</v>
      </c>
      <c r="Q83" s="553">
        <f>Q18+Q59</f>
        <v>66995</v>
      </c>
      <c r="R83" s="229">
        <f t="shared" ref="R83" si="30">R18+R59</f>
        <v>18540</v>
      </c>
    </row>
    <row r="84" spans="2:18" x14ac:dyDescent="0.25">
      <c r="B84" s="342"/>
      <c r="C84" s="342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556"/>
      <c r="O84" s="556"/>
      <c r="P84" s="556"/>
      <c r="Q84" s="556"/>
      <c r="R84" s="231"/>
    </row>
    <row r="85" spans="2:18" x14ac:dyDescent="0.25">
      <c r="B85" s="341" t="s">
        <v>130</v>
      </c>
      <c r="C85" s="341"/>
      <c r="D85" s="395">
        <v>169.3</v>
      </c>
      <c r="E85" s="396">
        <v>94</v>
      </c>
      <c r="F85" s="396">
        <v>95</v>
      </c>
      <c r="G85" s="396">
        <v>188</v>
      </c>
      <c r="H85" s="396">
        <v>359</v>
      </c>
      <c r="I85" s="396">
        <v>399</v>
      </c>
      <c r="J85" s="396">
        <v>129</v>
      </c>
      <c r="K85" s="396">
        <v>241</v>
      </c>
      <c r="L85" s="396">
        <v>348</v>
      </c>
      <c r="M85" s="396">
        <v>351</v>
      </c>
      <c r="N85" s="558">
        <v>21</v>
      </c>
      <c r="O85" s="558">
        <v>66</v>
      </c>
      <c r="P85" s="558">
        <v>227</v>
      </c>
      <c r="Q85" s="558">
        <v>315</v>
      </c>
      <c r="R85" s="396">
        <v>55</v>
      </c>
    </row>
    <row r="87" spans="2:18" x14ac:dyDescent="0.25">
      <c r="B87" s="105" t="s">
        <v>132</v>
      </c>
      <c r="C87" s="111"/>
      <c r="D87" s="107">
        <v>30029.492999999999</v>
      </c>
      <c r="E87" s="107">
        <v>30029.492999999999</v>
      </c>
      <c r="F87" s="106">
        <v>30029.062999999998</v>
      </c>
      <c r="G87" s="106">
        <v>30029.062999999998</v>
      </c>
      <c r="H87" s="106">
        <v>30029.062999999998</v>
      </c>
      <c r="I87" s="107">
        <v>30029.062999999998</v>
      </c>
      <c r="J87" s="106">
        <v>30029.062999999998</v>
      </c>
      <c r="K87" s="106">
        <v>34629.063000000002</v>
      </c>
      <c r="L87" s="106">
        <v>34629.063000000002</v>
      </c>
      <c r="M87" s="107">
        <v>34629.063000000002</v>
      </c>
      <c r="N87" s="106">
        <v>34629.063000000002</v>
      </c>
      <c r="O87" s="106">
        <v>34629.063000000002</v>
      </c>
      <c r="P87" s="106">
        <v>37526.637000000002</v>
      </c>
      <c r="Q87" s="107">
        <v>37526.637000000002</v>
      </c>
      <c r="R87" s="582">
        <v>37526.637000000002</v>
      </c>
    </row>
    <row r="88" spans="2:18" x14ac:dyDescent="0.25">
      <c r="B88" s="108" t="s">
        <v>157</v>
      </c>
      <c r="C88" s="112"/>
      <c r="D88" s="110">
        <v>0.6</v>
      </c>
      <c r="E88" s="110">
        <v>0.6</v>
      </c>
      <c r="F88" s="109">
        <v>0.6</v>
      </c>
      <c r="G88" s="109">
        <v>0.6</v>
      </c>
      <c r="H88" s="109">
        <v>0.6</v>
      </c>
      <c r="I88" s="110">
        <v>0.6</v>
      </c>
      <c r="J88" s="109">
        <v>0.6</v>
      </c>
      <c r="K88" s="109">
        <v>0.6</v>
      </c>
      <c r="L88" s="109">
        <v>0.6</v>
      </c>
      <c r="M88" s="110">
        <v>0.6</v>
      </c>
      <c r="N88" s="109">
        <v>0.6</v>
      </c>
      <c r="O88" s="109">
        <v>0.6</v>
      </c>
      <c r="P88" s="109">
        <f>O88</f>
        <v>0.6</v>
      </c>
      <c r="Q88" s="110">
        <f>P88</f>
        <v>0.6</v>
      </c>
      <c r="R88" s="584">
        <v>0.6</v>
      </c>
    </row>
    <row r="89" spans="2:18" x14ac:dyDescent="0.25">
      <c r="B89" s="144"/>
      <c r="C89" s="144"/>
      <c r="D89" s="104"/>
      <c r="E89" s="104"/>
      <c r="F89" s="104"/>
      <c r="G89" s="104"/>
      <c r="H89" s="104"/>
      <c r="I89" s="104"/>
      <c r="J89" s="104"/>
      <c r="K89" s="104"/>
      <c r="L89" s="104"/>
      <c r="N89" s="104"/>
      <c r="O89" s="104"/>
      <c r="R89" s="104"/>
    </row>
    <row r="95" spans="2:18" x14ac:dyDescent="0.25">
      <c r="M95" s="13"/>
      <c r="P95" s="13"/>
      <c r="Q95" s="13"/>
    </row>
    <row r="96" spans="2:18" x14ac:dyDescent="0.25">
      <c r="M96" s="14"/>
      <c r="P96" s="18"/>
      <c r="Q96" s="18"/>
    </row>
    <row r="97" spans="13:17" x14ac:dyDescent="0.25">
      <c r="M97" s="12"/>
      <c r="P97" s="12"/>
      <c r="Q97" s="12"/>
    </row>
    <row r="98" spans="13:17" x14ac:dyDescent="0.25">
      <c r="M98" s="14"/>
      <c r="P98" s="18"/>
      <c r="Q98" s="18"/>
    </row>
    <row r="99" spans="13:17" x14ac:dyDescent="0.25">
      <c r="M99" s="14"/>
      <c r="P99" s="18"/>
      <c r="Q99" s="18"/>
    </row>
    <row r="104" spans="13:17" x14ac:dyDescent="0.25">
      <c r="M104" s="13"/>
      <c r="P104" s="13"/>
      <c r="Q104" s="13"/>
    </row>
    <row r="105" spans="13:17" x14ac:dyDescent="0.25">
      <c r="M105" s="14"/>
      <c r="P105" s="18"/>
      <c r="Q105" s="18"/>
    </row>
    <row r="106" spans="13:17" x14ac:dyDescent="0.25">
      <c r="M106" s="14"/>
      <c r="P106" s="18"/>
      <c r="Q106" s="18"/>
    </row>
    <row r="107" spans="13:17" x14ac:dyDescent="0.25">
      <c r="M107" s="14"/>
      <c r="P107" s="18"/>
      <c r="Q107" s="18"/>
    </row>
    <row r="108" spans="13:17" x14ac:dyDescent="0.25">
      <c r="M108" s="14"/>
      <c r="P108" s="18"/>
      <c r="Q108" s="18"/>
    </row>
    <row r="115" spans="13:17" x14ac:dyDescent="0.25">
      <c r="M115" s="13"/>
      <c r="P115" s="13"/>
      <c r="Q115" s="13"/>
    </row>
    <row r="116" spans="13:17" x14ac:dyDescent="0.25">
      <c r="M116" s="14"/>
      <c r="P116" s="18"/>
      <c r="Q116" s="18"/>
    </row>
    <row r="117" spans="13:17" x14ac:dyDescent="0.25">
      <c r="M117" s="14"/>
      <c r="P117" s="18"/>
      <c r="Q117" s="18"/>
    </row>
    <row r="118" spans="13:17" x14ac:dyDescent="0.25">
      <c r="M118" s="14"/>
      <c r="P118" s="18"/>
      <c r="Q118" s="18"/>
    </row>
    <row r="119" spans="13:17" x14ac:dyDescent="0.25">
      <c r="M119" s="14"/>
      <c r="P119" s="18"/>
      <c r="Q119" s="18"/>
    </row>
    <row r="130" spans="4:18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55"/>
      <c r="Q130" s="155"/>
      <c r="R130" s="7"/>
    </row>
    <row r="131" spans="4:18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55"/>
      <c r="Q131" s="155"/>
      <c r="R131" s="7"/>
    </row>
    <row r="132" spans="4:18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55"/>
      <c r="Q132" s="155"/>
      <c r="R132" s="7"/>
    </row>
    <row r="133" spans="4:18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55"/>
      <c r="Q133" s="155"/>
      <c r="R133" s="7"/>
    </row>
    <row r="134" spans="4:18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55"/>
      <c r="Q134" s="155"/>
      <c r="R134" s="7"/>
    </row>
    <row r="135" spans="4:18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55"/>
      <c r="Q135" s="155"/>
      <c r="R135" s="7"/>
    </row>
    <row r="136" spans="4:18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55"/>
      <c r="Q136" s="155"/>
      <c r="R136" s="7"/>
    </row>
    <row r="137" spans="4:18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55"/>
      <c r="Q137" s="155"/>
      <c r="R137" s="7"/>
    </row>
    <row r="138" spans="4:18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55"/>
      <c r="Q138" s="155"/>
      <c r="R138" s="7"/>
    </row>
  </sheetData>
  <mergeCells count="3">
    <mergeCell ref="F2:I2"/>
    <mergeCell ref="J2:M2"/>
    <mergeCell ref="N2:Q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28F3-1C2E-F04D-A20F-0D69DC0A3D77}">
  <sheetPr>
    <tabColor theme="9" tint="0.59999389629810485"/>
    <outlinePr summaryBelow="0"/>
  </sheetPr>
  <dimension ref="A1:AA136"/>
  <sheetViews>
    <sheetView showGridLines="0" zoomScale="80" zoomScaleNormal="80" workbookViewId="0">
      <pane ySplit="3" topLeftCell="A64" activePane="bottomLeft" state="frozen"/>
      <selection activeCell="L1" sqref="L1:O1048576"/>
      <selection pane="bottomLeft" activeCell="P1" sqref="P1"/>
    </sheetView>
  </sheetViews>
  <sheetFormatPr defaultColWidth="11" defaultRowHeight="15.75" outlineLevelRow="1" x14ac:dyDescent="0.25"/>
  <cols>
    <col min="1" max="1" width="3" customWidth="1"/>
    <col min="2" max="2" width="74.125" style="8" customWidth="1"/>
    <col min="3" max="3" width="7.25" style="8" customWidth="1"/>
    <col min="4" max="5" width="12" style="16" customWidth="1"/>
    <col min="6" max="6" width="12.125" style="16" customWidth="1"/>
    <col min="7" max="7" width="11.875" style="16" customWidth="1"/>
    <col min="8" max="9" width="11.875" style="16" bestFit="1" customWidth="1"/>
    <col min="10" max="10" width="11.875" style="16" customWidth="1"/>
    <col min="11" max="11" width="11" style="144"/>
    <col min="12" max="13" width="9.875" style="144" bestFit="1" customWidth="1"/>
    <col min="14" max="15" width="10.125" style="144" customWidth="1"/>
    <col min="16" max="16" width="10.125" style="233" customWidth="1"/>
  </cols>
  <sheetData>
    <row r="1" spans="1:16" x14ac:dyDescent="0.25">
      <c r="A1" s="182"/>
      <c r="B1" s="50"/>
      <c r="C1" s="50"/>
      <c r="D1" s="59"/>
      <c r="E1" s="60"/>
      <c r="F1" s="60"/>
      <c r="G1" s="61"/>
      <c r="H1" s="62"/>
      <c r="I1" s="63"/>
      <c r="J1" s="63"/>
      <c r="K1" s="41"/>
      <c r="L1" s="196"/>
      <c r="M1" s="197"/>
      <c r="N1" s="197"/>
      <c r="O1" s="198"/>
      <c r="P1" s="575"/>
    </row>
    <row r="2" spans="1:16" x14ac:dyDescent="0.25">
      <c r="A2" s="182"/>
      <c r="B2" s="183"/>
      <c r="C2" s="183"/>
      <c r="D2" s="611">
        <v>2023</v>
      </c>
      <c r="E2" s="612"/>
      <c r="F2" s="612"/>
      <c r="G2" s="613"/>
      <c r="H2" s="603">
        <v>2024</v>
      </c>
      <c r="I2" s="600"/>
      <c r="J2" s="600"/>
      <c r="K2" s="600"/>
      <c r="L2" s="603">
        <v>2025</v>
      </c>
      <c r="M2" s="600"/>
      <c r="N2" s="600"/>
      <c r="O2" s="604"/>
      <c r="P2" s="44">
        <v>2026</v>
      </c>
    </row>
    <row r="3" spans="1:16" x14ac:dyDescent="0.25">
      <c r="A3" s="139" t="s">
        <v>131</v>
      </c>
      <c r="B3" s="74"/>
      <c r="C3" s="74"/>
      <c r="D3" s="71" t="s">
        <v>1</v>
      </c>
      <c r="E3" s="72" t="s">
        <v>93</v>
      </c>
      <c r="F3" s="72" t="s">
        <v>94</v>
      </c>
      <c r="G3" s="73" t="s">
        <v>95</v>
      </c>
      <c r="H3" s="71" t="s">
        <v>1</v>
      </c>
      <c r="I3" s="72" t="s">
        <v>93</v>
      </c>
      <c r="J3" s="72" t="s">
        <v>94</v>
      </c>
      <c r="K3" s="43" t="s">
        <v>95</v>
      </c>
      <c r="L3" s="199" t="s">
        <v>154</v>
      </c>
      <c r="M3" s="43" t="s">
        <v>93</v>
      </c>
      <c r="N3" s="43" t="s">
        <v>94</v>
      </c>
      <c r="O3" s="56" t="s">
        <v>95</v>
      </c>
      <c r="P3" s="576" t="s">
        <v>154</v>
      </c>
    </row>
    <row r="4" spans="1:16" x14ac:dyDescent="0.25">
      <c r="K4" s="6"/>
    </row>
    <row r="5" spans="1:16" s="2" customFormat="1" x14ac:dyDescent="0.25">
      <c r="B5" s="350" t="s">
        <v>48</v>
      </c>
      <c r="C5" s="89"/>
      <c r="D5" s="94">
        <v>12534.979000000001</v>
      </c>
      <c r="E5" s="95">
        <v>13516.145999999999</v>
      </c>
      <c r="F5" s="95">
        <v>13873.468000000006</v>
      </c>
      <c r="G5" s="95">
        <v>17614.525000000001</v>
      </c>
      <c r="H5" s="94">
        <f>'PL накопленные данные'!J5</f>
        <v>20231.573999999997</v>
      </c>
      <c r="I5" s="95">
        <f>I6+I8+I9+I7+I10</f>
        <v>21951.987000000005</v>
      </c>
      <c r="J5" s="95">
        <f>J6+J8+J9+J7+J10</f>
        <v>23334.438999999998</v>
      </c>
      <c r="K5" s="95">
        <f>K6+K8+K9+K7+K10</f>
        <v>25710.094999999994</v>
      </c>
      <c r="L5" s="90">
        <v>27581</v>
      </c>
      <c r="M5" s="91">
        <f>M6+M8+M9+M7+M10</f>
        <v>35000</v>
      </c>
      <c r="N5" s="91">
        <f>N6+N8+N9+N7+N10</f>
        <v>36474</v>
      </c>
      <c r="O5" s="184">
        <f>O6+O8+O9+O7+O10</f>
        <v>37071</v>
      </c>
      <c r="P5" s="184">
        <f>P6+P8+P9+P7+P10</f>
        <v>34458</v>
      </c>
    </row>
    <row r="6" spans="1:16" s="2" customFormat="1" outlineLevel="1" x14ac:dyDescent="0.25">
      <c r="B6" s="351" t="s">
        <v>3</v>
      </c>
      <c r="C6" s="352"/>
      <c r="D6" s="62">
        <v>11634.341</v>
      </c>
      <c r="E6" s="409">
        <v>12619.578999999998</v>
      </c>
      <c r="F6" s="409">
        <v>13062.270000000004</v>
      </c>
      <c r="G6" s="409">
        <v>16575.127</v>
      </c>
      <c r="H6" s="62">
        <f>'PL накопленные данные'!J6</f>
        <v>18639.761999999999</v>
      </c>
      <c r="I6" s="409">
        <f>'PL накопленные данные'!K6-'PL накопленные данные'!J6</f>
        <v>19835.780000000002</v>
      </c>
      <c r="J6" s="409">
        <f>'PL накопленные данные'!L6-'PL накопленные данные'!K6</f>
        <v>21027.457999999999</v>
      </c>
      <c r="K6" s="409">
        <f>'PL накопленные данные'!M6-'PL накопленные данные'!L6</f>
        <v>21814.217999999993</v>
      </c>
      <c r="L6" s="57">
        <v>21423</v>
      </c>
      <c r="M6" s="549">
        <f>'PL накопленные данные'!O6-'PL накопленные данные'!N6</f>
        <v>21754</v>
      </c>
      <c r="N6" s="549">
        <f>'PL накопленные данные'!P6-'PL накопленные данные'!O6</f>
        <v>20887</v>
      </c>
      <c r="O6" s="185">
        <f>'PL накопленные данные'!Q6-'PL накопленные данные'!P6</f>
        <v>20922</v>
      </c>
      <c r="P6" s="185">
        <f>'PL накопленные данные'!R6</f>
        <v>19768</v>
      </c>
    </row>
    <row r="7" spans="1:16" s="2" customFormat="1" outlineLevel="1" x14ac:dyDescent="0.25">
      <c r="B7" s="353" t="s">
        <v>67</v>
      </c>
      <c r="C7" s="354"/>
      <c r="D7" s="62">
        <v>48.012999999999998</v>
      </c>
      <c r="E7" s="409">
        <v>45.288000000000004</v>
      </c>
      <c r="F7" s="409">
        <v>37.868000000000009</v>
      </c>
      <c r="G7" s="409">
        <v>28.59099999999998</v>
      </c>
      <c r="H7" s="62">
        <f>'PL накопленные данные'!J7</f>
        <v>24.96</v>
      </c>
      <c r="I7" s="409">
        <f>'PL накопленные данные'!K7-'PL накопленные данные'!J7</f>
        <v>21.930999999999997</v>
      </c>
      <c r="J7" s="409">
        <f>'PL накопленные данные'!L7-'PL накопленные данные'!K7</f>
        <v>16.109000000000002</v>
      </c>
      <c r="K7" s="409">
        <f>'PL накопленные данные'!M7-'PL накопленные данные'!L7</f>
        <v>16.897999999999996</v>
      </c>
      <c r="L7" s="57">
        <v>750</v>
      </c>
      <c r="M7" s="549">
        <f>'PL накопленные данные'!O7-'PL накопленные данные'!N7</f>
        <v>7294</v>
      </c>
      <c r="N7" s="549">
        <f>'PL накопленные данные'!P7-'PL накопленные данные'!O7</f>
        <v>9927</v>
      </c>
      <c r="O7" s="185">
        <f>'PL накопленные данные'!Q7-'PL накопленные данные'!P7</f>
        <v>10224</v>
      </c>
      <c r="P7" s="185">
        <f>'PL накопленные данные'!R7</f>
        <v>8876</v>
      </c>
    </row>
    <row r="8" spans="1:16" s="2" customFormat="1" ht="19.149999999999999" customHeight="1" outlineLevel="1" x14ac:dyDescent="0.25">
      <c r="B8" s="353" t="s">
        <v>66</v>
      </c>
      <c r="C8" s="354"/>
      <c r="D8" s="62">
        <v>440.33199999999999</v>
      </c>
      <c r="E8" s="409">
        <v>423.73199999999997</v>
      </c>
      <c r="F8" s="409">
        <v>509.62600000000009</v>
      </c>
      <c r="G8" s="409">
        <v>688.86200000000008</v>
      </c>
      <c r="H8" s="62">
        <f>'PL накопленные данные'!J8</f>
        <v>897.88800000000003</v>
      </c>
      <c r="I8" s="409">
        <f>'PL накопленные данные'!K8-'PL накопленные данные'!J8</f>
        <v>1485.9459999999999</v>
      </c>
      <c r="J8" s="409">
        <f>'PL накопленные данные'!L8-'PL накопленные данные'!K8</f>
        <v>2172.1660000000002</v>
      </c>
      <c r="K8" s="409">
        <f>'PL накопленные данные'!M8-'PL накопленные данные'!L8</f>
        <v>3245.7460000000001</v>
      </c>
      <c r="L8" s="57">
        <v>4281</v>
      </c>
      <c r="M8" s="549">
        <f>'PL накопленные данные'!O8-'PL накопленные данные'!N8</f>
        <v>5115</v>
      </c>
      <c r="N8" s="549">
        <f>'PL накопленные данные'!P8-'PL накопленные данные'!O8</f>
        <v>5002</v>
      </c>
      <c r="O8" s="185">
        <f>'PL накопленные данные'!Q8-'PL накопленные данные'!P8</f>
        <v>4733</v>
      </c>
      <c r="P8" s="185">
        <f>'PL накопленные данные'!R8</f>
        <v>5126</v>
      </c>
    </row>
    <row r="9" spans="1:16" s="2" customFormat="1" outlineLevel="1" x14ac:dyDescent="0.25">
      <c r="B9" s="351" t="s">
        <v>172</v>
      </c>
      <c r="C9" s="352"/>
      <c r="D9" s="62">
        <v>382.81099999999998</v>
      </c>
      <c r="E9" s="409">
        <v>386.19700000000006</v>
      </c>
      <c r="F9" s="409">
        <v>261.58400000000006</v>
      </c>
      <c r="G9" s="409">
        <v>320.42999999999984</v>
      </c>
      <c r="H9" s="62">
        <f>'PL накопленные данные'!J9</f>
        <v>666.63499999999999</v>
      </c>
      <c r="I9" s="409">
        <f>'PL накопленные данные'!K9-'PL накопленные данные'!J9</f>
        <v>608.32999999999993</v>
      </c>
      <c r="J9" s="409">
        <f>'PL накопленные данные'!L9-'PL накопленные данные'!K9</f>
        <v>119.03500000000008</v>
      </c>
      <c r="K9" s="409">
        <f>'PL накопленные данные'!M9-'PL накопленные данные'!L9</f>
        <v>633.46199999999999</v>
      </c>
      <c r="L9" s="57">
        <v>1127</v>
      </c>
      <c r="M9" s="549">
        <f>'PL накопленные данные'!O9-'PL накопленные данные'!N9</f>
        <v>837</v>
      </c>
      <c r="N9" s="549">
        <f>'PL накопленные данные'!P9-'PL накопленные данные'!O9</f>
        <v>658</v>
      </c>
      <c r="O9" s="185">
        <f>'PL накопленные данные'!Q9-'PL накопленные данные'!P9</f>
        <v>1192</v>
      </c>
      <c r="P9" s="185">
        <f>'PL накопленные данные'!R9</f>
        <v>688</v>
      </c>
    </row>
    <row r="10" spans="1:16" s="2" customFormat="1" ht="19.149999999999999" customHeight="1" outlineLevel="1" x14ac:dyDescent="0.25">
      <c r="B10" s="353" t="s">
        <v>68</v>
      </c>
      <c r="C10" s="354"/>
      <c r="D10" s="62">
        <v>29.481999999999999</v>
      </c>
      <c r="E10" s="409">
        <v>41.349999999999994</v>
      </c>
      <c r="F10" s="409">
        <v>2.1200000000000045</v>
      </c>
      <c r="G10" s="409">
        <v>1.5150000000000006</v>
      </c>
      <c r="H10" s="62">
        <f>'PL накопленные данные'!J10</f>
        <v>2.3290000000000002</v>
      </c>
      <c r="I10" s="409">
        <f>'PL накопленные данные'!K10-'PL накопленные данные'!J10</f>
        <v>0</v>
      </c>
      <c r="J10" s="409">
        <f>'PL накопленные данные'!L10-'PL накопленные данные'!K10</f>
        <v>-0.32900000000000018</v>
      </c>
      <c r="K10" s="409">
        <f>'PL накопленные данные'!M10-'PL накопленные данные'!L10</f>
        <v>-0.22900000000000009</v>
      </c>
      <c r="L10" s="57">
        <v>0</v>
      </c>
      <c r="M10" s="549">
        <f>'PL накопленные данные'!O10-'PL накопленные данные'!N10</f>
        <v>0</v>
      </c>
      <c r="N10" s="549">
        <f>'PL накопленные данные'!P10-'PL накопленные данные'!O10</f>
        <v>0</v>
      </c>
      <c r="O10" s="185">
        <f>'PL накопленные данные'!Q10-'PL накопленные данные'!P10</f>
        <v>0</v>
      </c>
      <c r="P10" s="185">
        <f>'PL накопленные данные'!R10</f>
        <v>0</v>
      </c>
    </row>
    <row r="11" spans="1:16" s="2" customFormat="1" x14ac:dyDescent="0.25">
      <c r="B11" s="355" t="s">
        <v>49</v>
      </c>
      <c r="C11" s="356"/>
      <c r="D11" s="96">
        <v>-4048.6749999999997</v>
      </c>
      <c r="E11" s="413">
        <v>-4026.21</v>
      </c>
      <c r="F11" s="413">
        <v>-4877.8449999999993</v>
      </c>
      <c r="G11" s="413">
        <v>-7850.174</v>
      </c>
      <c r="H11" s="96">
        <f>'PL накопленные данные'!J11</f>
        <v>-10320.234000000002</v>
      </c>
      <c r="I11" s="413">
        <f>I12+I13+I14+I15+I16</f>
        <v>-10497.760999999999</v>
      </c>
      <c r="J11" s="413">
        <f>J12+J13+J14+J15+J16</f>
        <v>-11790.005000000001</v>
      </c>
      <c r="K11" s="413">
        <f>K12+K13+K14+K15+K16</f>
        <v>-15968.041999999999</v>
      </c>
      <c r="L11" s="92">
        <v>-18617</v>
      </c>
      <c r="M11" s="550">
        <f>M12+M13+M14+M15+M16</f>
        <v>-23980</v>
      </c>
      <c r="N11" s="550">
        <f>N12+N13+N14+N15+N16</f>
        <v>-24069</v>
      </c>
      <c r="O11" s="186">
        <f>O12+O13+O14+O15+O16</f>
        <v>-22059</v>
      </c>
      <c r="P11" s="186">
        <f>P12+P13+P14+P15+P16</f>
        <v>-19776</v>
      </c>
    </row>
    <row r="12" spans="1:16" s="2" customFormat="1" outlineLevel="1" x14ac:dyDescent="0.25">
      <c r="B12" s="351" t="s">
        <v>14</v>
      </c>
      <c r="C12" s="352"/>
      <c r="D12" s="62">
        <v>-3735.5450000000001</v>
      </c>
      <c r="E12" s="409">
        <v>-3671.3990000000003</v>
      </c>
      <c r="F12" s="409">
        <v>-4155.8959999999997</v>
      </c>
      <c r="G12" s="409">
        <v>-6581.9989999999998</v>
      </c>
      <c r="H12" s="62">
        <f>'PL накопленные данные'!J12</f>
        <v>-8957.1290000000008</v>
      </c>
      <c r="I12" s="409">
        <f>'PL накопленные данные'!K12-'PL накопленные данные'!J12</f>
        <v>-9572.757999999998</v>
      </c>
      <c r="J12" s="409">
        <f>'PL накопленные данные'!L12-'PL накопленные данные'!K12</f>
        <v>-10127.113000000001</v>
      </c>
      <c r="K12" s="409">
        <f>'PL накопленные данные'!M12-'PL накопленные данные'!L12</f>
        <v>-12597.373</v>
      </c>
      <c r="L12" s="57">
        <v>-14995</v>
      </c>
      <c r="M12" s="549">
        <f>'PL накопленные данные'!O12-'PL накопленные данные'!N12</f>
        <v>-18495</v>
      </c>
      <c r="N12" s="549">
        <f>'PL накопленные данные'!P12-'PL накопленные данные'!O12</f>
        <v>-19044</v>
      </c>
      <c r="O12" s="185">
        <f>'PL накопленные данные'!Q12-'PL накопленные данные'!P12</f>
        <v>-17337</v>
      </c>
      <c r="P12" s="185">
        <f>'PL накопленные данные'!R12</f>
        <v>-15120</v>
      </c>
    </row>
    <row r="13" spans="1:16" s="2" customFormat="1" outlineLevel="1" x14ac:dyDescent="0.25">
      <c r="B13" s="351" t="s">
        <v>13</v>
      </c>
      <c r="C13" s="352"/>
      <c r="D13" s="62">
        <v>-30.873999999999999</v>
      </c>
      <c r="E13" s="409">
        <v>-109.25</v>
      </c>
      <c r="F13" s="409">
        <v>-529.43200000000002</v>
      </c>
      <c r="G13" s="409">
        <v>-705.26</v>
      </c>
      <c r="H13" s="62">
        <f>'PL накопленные данные'!J13</f>
        <v>-723.74099999999999</v>
      </c>
      <c r="I13" s="409">
        <f>'PL накопленные данные'!K13-'PL накопленные данные'!J13</f>
        <v>-283.93700000000001</v>
      </c>
      <c r="J13" s="409">
        <f>'PL накопленные данные'!L13-'PL накопленные данные'!K13</f>
        <v>-979.322</v>
      </c>
      <c r="K13" s="409">
        <f>'PL накопленные данные'!M13-'PL накопленные данные'!L13</f>
        <v>-2614.107</v>
      </c>
      <c r="L13" s="57">
        <v>-2844</v>
      </c>
      <c r="M13" s="549">
        <f>'PL накопленные данные'!O13-'PL накопленные данные'!N13</f>
        <v>-2464</v>
      </c>
      <c r="N13" s="549">
        <f>'PL накопленные данные'!P13-'PL накопленные данные'!O13</f>
        <v>-2861</v>
      </c>
      <c r="O13" s="185">
        <f>'PL накопленные данные'!Q13-'PL накопленные данные'!P13</f>
        <v>-3645</v>
      </c>
      <c r="P13" s="185">
        <f>'PL накопленные данные'!R13</f>
        <v>-3999</v>
      </c>
    </row>
    <row r="14" spans="1:16" s="2" customFormat="1" outlineLevel="1" x14ac:dyDescent="0.25">
      <c r="B14" s="351" t="s">
        <v>173</v>
      </c>
      <c r="C14" s="352"/>
      <c r="D14" s="62">
        <v>-263.86099999999999</v>
      </c>
      <c r="E14" s="409">
        <v>-226.25400000000002</v>
      </c>
      <c r="F14" s="409">
        <v>-173.07500000000005</v>
      </c>
      <c r="G14" s="409">
        <v>-544.1869999999999</v>
      </c>
      <c r="H14" s="62">
        <f>'PL накопленные данные'!J14</f>
        <v>-619.72699999999998</v>
      </c>
      <c r="I14" s="409">
        <f>'PL накопленные данные'!K14-'PL накопленные данные'!J14</f>
        <v>-620.28100000000006</v>
      </c>
      <c r="J14" s="409">
        <f>'PL накопленные данные'!L14-'PL накопленные данные'!K14</f>
        <v>-661.99199999999996</v>
      </c>
      <c r="K14" s="409">
        <f>'PL накопленные данные'!M14-'PL накопленные данные'!L14</f>
        <v>-733.51600000000008</v>
      </c>
      <c r="L14" s="57">
        <v>-754</v>
      </c>
      <c r="M14" s="549">
        <f>'PL накопленные данные'!O14-'PL накопленные данные'!N14</f>
        <v>-986</v>
      </c>
      <c r="N14" s="549">
        <f>'PL накопленные данные'!P14-'PL накопленные данные'!O14</f>
        <v>-1058</v>
      </c>
      <c r="O14" s="185">
        <f>'PL накопленные данные'!Q14-'PL накопленные данные'!P14</f>
        <v>-841</v>
      </c>
      <c r="P14" s="185">
        <f>'PL накопленные данные'!R14</f>
        <v>-617</v>
      </c>
    </row>
    <row r="15" spans="1:16" s="2" customFormat="1" outlineLevel="1" x14ac:dyDescent="0.25">
      <c r="B15" s="351" t="s">
        <v>17</v>
      </c>
      <c r="C15" s="352"/>
      <c r="D15" s="62">
        <v>-18.395</v>
      </c>
      <c r="E15" s="409">
        <v>-19.306999999999999</v>
      </c>
      <c r="F15" s="409">
        <v>-19.442</v>
      </c>
      <c r="G15" s="409">
        <v>-18.728000000000002</v>
      </c>
      <c r="H15" s="62">
        <f>'PL накопленные данные'!J15</f>
        <v>-19.637</v>
      </c>
      <c r="I15" s="409">
        <f>'PL накопленные данные'!K15-'PL накопленные данные'!J15</f>
        <v>-20.784999999999997</v>
      </c>
      <c r="J15" s="409">
        <f>'PL накопленные данные'!L15-'PL накопленные данные'!K15</f>
        <v>-21.578000000000003</v>
      </c>
      <c r="K15" s="409">
        <f>'PL накопленные данные'!M15-'PL накопленные данные'!L15</f>
        <v>-23.046000000000006</v>
      </c>
      <c r="L15" s="57">
        <v>-24</v>
      </c>
      <c r="M15" s="549">
        <f>'PL накопленные данные'!O15-'PL накопленные данные'!N15</f>
        <v>-30</v>
      </c>
      <c r="N15" s="549">
        <f>'PL накопленные данные'!P15-'PL накопленные данные'!O15</f>
        <v>-33</v>
      </c>
      <c r="O15" s="185">
        <f>'PL накопленные данные'!Q15-'PL накопленные данные'!P15</f>
        <v>-33</v>
      </c>
      <c r="P15" s="185">
        <f>'PL накопленные данные'!R15</f>
        <v>-40</v>
      </c>
    </row>
    <row r="16" spans="1:16" s="2" customFormat="1" outlineLevel="1" x14ac:dyDescent="0.25">
      <c r="B16" s="351" t="s">
        <v>158</v>
      </c>
      <c r="C16" s="352"/>
      <c r="D16" s="62">
        <v>0</v>
      </c>
      <c r="E16" s="409">
        <v>0</v>
      </c>
      <c r="F16" s="409">
        <v>0</v>
      </c>
      <c r="G16" s="409">
        <v>0</v>
      </c>
      <c r="H16" s="62">
        <f>'PL накопленные данные'!J16</f>
        <v>0</v>
      </c>
      <c r="I16" s="409">
        <f>'PL накопленные данные'!K16-'PL накопленные данные'!J16</f>
        <v>0</v>
      </c>
      <c r="J16" s="409">
        <f>'PL накопленные данные'!L16-'PL накопленные данные'!K16</f>
        <v>0</v>
      </c>
      <c r="K16" s="409">
        <f>'PL накопленные данные'!M16-'PL накопленные данные'!L16</f>
        <v>0</v>
      </c>
      <c r="L16" s="57">
        <v>0</v>
      </c>
      <c r="M16" s="549">
        <f>'PL накопленные данные'!O16-'PL накопленные данные'!N16</f>
        <v>-2005</v>
      </c>
      <c r="N16" s="549">
        <f>'PL накопленные данные'!P16-'PL накопленные данные'!O16</f>
        <v>-1073</v>
      </c>
      <c r="O16" s="185">
        <f>'PL накопленные данные'!Q16-'PL накопленные данные'!P16</f>
        <v>-203</v>
      </c>
      <c r="P16" s="185">
        <f>'PL накопленные данные'!R16</f>
        <v>0</v>
      </c>
    </row>
    <row r="17" spans="2:27" s="2" customFormat="1" x14ac:dyDescent="0.25">
      <c r="B17" s="414" t="s">
        <v>50</v>
      </c>
      <c r="C17" s="415"/>
      <c r="D17" s="97">
        <v>-202.94900000000001</v>
      </c>
      <c r="E17" s="404">
        <v>-209.964</v>
      </c>
      <c r="F17" s="404">
        <v>-209.33799999999997</v>
      </c>
      <c r="G17" s="404">
        <v>-231.26900000000001</v>
      </c>
      <c r="H17" s="97">
        <f>'PL накопленные данные'!J17</f>
        <v>-259.423</v>
      </c>
      <c r="I17" s="404">
        <f>'PL накопленные данные'!K17-'PL накопленные данные'!J17</f>
        <v>-280.08299999999997</v>
      </c>
      <c r="J17" s="404">
        <f>'PL накопленные данные'!L17-'PL накопленные данные'!K17</f>
        <v>-275.49400000000003</v>
      </c>
      <c r="K17" s="404">
        <f>'PL накопленные данные'!M17-'PL накопленные данные'!L17</f>
        <v>-277.56899999999996</v>
      </c>
      <c r="L17" s="93">
        <v>-297</v>
      </c>
      <c r="M17" s="551">
        <f>'PL накопленные данные'!O17-'PL накопленные данные'!N17</f>
        <v>-339</v>
      </c>
      <c r="N17" s="551">
        <f>'PL накопленные данные'!P17-'PL накопленные данные'!O17</f>
        <v>-374</v>
      </c>
      <c r="O17" s="187">
        <f>'PL накопленные данные'!Q17-'PL накопленные данные'!P17</f>
        <v>-390</v>
      </c>
      <c r="P17" s="187">
        <f>'PL накопленные данные'!R17</f>
        <v>-389</v>
      </c>
    </row>
    <row r="18" spans="2:27" s="2" customFormat="1" x14ac:dyDescent="0.25">
      <c r="B18" s="359" t="s">
        <v>51</v>
      </c>
      <c r="C18" s="360"/>
      <c r="D18" s="416">
        <f>D5+D11+D17</f>
        <v>8283.3550000000014</v>
      </c>
      <c r="E18" s="417">
        <f>E5+E11+E17</f>
        <v>9279.9719999999979</v>
      </c>
      <c r="F18" s="417">
        <f>F5+F11+F17</f>
        <v>8786.2850000000071</v>
      </c>
      <c r="G18" s="417">
        <f>G5+G11+G17</f>
        <v>9533.0820000000022</v>
      </c>
      <c r="H18" s="416">
        <f>'PL накопленные данные'!J18</f>
        <v>9651.916999999994</v>
      </c>
      <c r="I18" s="417">
        <f t="shared" ref="I18:O18" si="0">I5+I11+I17</f>
        <v>11174.143000000005</v>
      </c>
      <c r="J18" s="417">
        <f t="shared" si="0"/>
        <v>11268.939999999997</v>
      </c>
      <c r="K18" s="417">
        <f t="shared" si="0"/>
        <v>9464.4839999999949</v>
      </c>
      <c r="L18" s="361">
        <f t="shared" si="0"/>
        <v>8667</v>
      </c>
      <c r="M18" s="362">
        <f t="shared" si="0"/>
        <v>10681</v>
      </c>
      <c r="N18" s="362">
        <f t="shared" si="0"/>
        <v>12031</v>
      </c>
      <c r="O18" s="363">
        <f t="shared" si="0"/>
        <v>14622</v>
      </c>
      <c r="P18" s="363">
        <f t="shared" ref="P18" si="1">P5+P11+P17</f>
        <v>14293</v>
      </c>
    </row>
    <row r="19" spans="2:27" s="335" customFormat="1" x14ac:dyDescent="0.25">
      <c r="B19" s="336"/>
      <c r="C19" s="336"/>
      <c r="D19" s="397"/>
      <c r="E19" s="397"/>
      <c r="F19" s="397"/>
      <c r="G19" s="397"/>
      <c r="H19" s="397"/>
      <c r="I19" s="397"/>
      <c r="J19" s="397"/>
      <c r="K19" s="397"/>
      <c r="L19" s="552"/>
      <c r="M19" s="552"/>
      <c r="N19" s="552"/>
      <c r="O19" s="552"/>
      <c r="P19" s="228"/>
    </row>
    <row r="20" spans="2:27" ht="19.149999999999999" customHeight="1" x14ac:dyDescent="0.25">
      <c r="B20" s="418" t="s">
        <v>52</v>
      </c>
      <c r="C20" s="419"/>
      <c r="D20" s="420">
        <f t="shared" ref="D20:G20" si="2">-(D21+D22+D23+D24+D25)</f>
        <v>-5953.4250000000002</v>
      </c>
      <c r="E20" s="421">
        <f t="shared" si="2"/>
        <v>-6433.27</v>
      </c>
      <c r="F20" s="421">
        <f t="shared" si="2"/>
        <v>-5044.7509999999993</v>
      </c>
      <c r="G20" s="421">
        <f t="shared" si="2"/>
        <v>-8419.7629845953179</v>
      </c>
      <c r="H20" s="420">
        <f>'PL накопленные данные'!J20</f>
        <v>-8799.4790000000012</v>
      </c>
      <c r="I20" s="421">
        <f t="shared" ref="I20" si="3">-(I21+I22+I23+I24+I25)</f>
        <v>-6675.4149999999981</v>
      </c>
      <c r="J20" s="421">
        <f t="shared" ref="J20:O20" si="4">-(J21+J22+J23+J24+J25)</f>
        <v>-7115.1060000000007</v>
      </c>
      <c r="K20" s="421">
        <f t="shared" si="4"/>
        <v>-8311.4410000000025</v>
      </c>
      <c r="L20" s="90">
        <f t="shared" si="4"/>
        <v>-6788</v>
      </c>
      <c r="M20" s="91">
        <f t="shared" si="4"/>
        <v>-5713</v>
      </c>
      <c r="N20" s="91">
        <f t="shared" si="4"/>
        <v>-5959</v>
      </c>
      <c r="O20" s="184">
        <f t="shared" si="4"/>
        <v>-6292</v>
      </c>
      <c r="P20" s="184">
        <f t="shared" ref="P20" si="5">-(P21+P22+P23+P24+P25)</f>
        <v>-7434</v>
      </c>
    </row>
    <row r="21" spans="2:27" ht="31.5" outlineLevel="1" x14ac:dyDescent="0.25">
      <c r="B21" s="353" t="s">
        <v>108</v>
      </c>
      <c r="C21" s="354"/>
      <c r="D21" s="62">
        <v>6134.9229999999998</v>
      </c>
      <c r="E21" s="409">
        <v>6291.4189999999999</v>
      </c>
      <c r="F21" s="409">
        <v>4807.1130000000003</v>
      </c>
      <c r="G21" s="409">
        <v>7770.2289999999994</v>
      </c>
      <c r="H21" s="62">
        <f>'PL накопленные данные'!J21</f>
        <v>8814.6450000000004</v>
      </c>
      <c r="I21" s="409">
        <f>'PL накопленные данные'!K21-'PL накопленные данные'!J21</f>
        <v>6775.9319999999989</v>
      </c>
      <c r="J21" s="409">
        <f>'PL накопленные данные'!L21-'PL накопленные данные'!K21</f>
        <v>6955.4230000000007</v>
      </c>
      <c r="K21" s="409">
        <f>'PL накопленные данные'!M21-'PL накопленные данные'!L21</f>
        <v>8039.9140000000007</v>
      </c>
      <c r="L21" s="57">
        <v>7304</v>
      </c>
      <c r="M21" s="549">
        <f>'PL накопленные данные'!O21-'PL накопленные данные'!N21</f>
        <v>5820</v>
      </c>
      <c r="N21" s="549">
        <f>'PL накопленные данные'!P21-'PL накопленные данные'!O21</f>
        <v>5866</v>
      </c>
      <c r="O21" s="185">
        <f>'PL накопленные данные'!Q21-'PL накопленные данные'!P21</f>
        <v>4701</v>
      </c>
      <c r="P21" s="185">
        <f>'PL накопленные данные'!R21</f>
        <v>7098</v>
      </c>
    </row>
    <row r="22" spans="2:27" ht="31.5" outlineLevel="1" x14ac:dyDescent="0.25">
      <c r="B22" s="353" t="s">
        <v>109</v>
      </c>
      <c r="C22" s="354"/>
      <c r="D22" s="62">
        <v>-143.40700000000001</v>
      </c>
      <c r="E22" s="409">
        <v>85.18</v>
      </c>
      <c r="F22" s="409">
        <v>162.351</v>
      </c>
      <c r="G22" s="409">
        <v>657.90499999999997</v>
      </c>
      <c r="H22" s="62">
        <f>'PL накопленные данные'!J22</f>
        <v>-26.626000000000001</v>
      </c>
      <c r="I22" s="409">
        <f>'PL накопленные данные'!K22-'PL накопленные данные'!J22</f>
        <v>1.2280000000000015</v>
      </c>
      <c r="J22" s="409">
        <f>'PL накопленные данные'!L22-'PL накопленные данные'!K22</f>
        <v>147.398</v>
      </c>
      <c r="K22" s="409">
        <f>'PL накопленные данные'!M22-'PL накопленные данные'!L22</f>
        <v>127.43100000000001</v>
      </c>
      <c r="L22" s="57">
        <v>-465</v>
      </c>
      <c r="M22" s="549">
        <f>'PL накопленные данные'!O22-'PL накопленные данные'!N22</f>
        <v>-1</v>
      </c>
      <c r="N22" s="549">
        <f>'PL накопленные данные'!P22-'PL накопленные данные'!O22</f>
        <v>96</v>
      </c>
      <c r="O22" s="185">
        <f>'PL накопленные данные'!Q22-'PL накопленные данные'!P22</f>
        <v>1538</v>
      </c>
      <c r="P22" s="185">
        <f>'PL накопленные данные'!R22</f>
        <v>358</v>
      </c>
    </row>
    <row r="23" spans="2:27" ht="31.5" outlineLevel="1" x14ac:dyDescent="0.25">
      <c r="B23" s="353" t="s">
        <v>69</v>
      </c>
      <c r="C23" s="354"/>
      <c r="D23" s="62">
        <v>-39.643000000000001</v>
      </c>
      <c r="E23" s="409">
        <v>26.372</v>
      </c>
      <c r="F23" s="409">
        <v>96.046999999999997</v>
      </c>
      <c r="G23" s="409">
        <v>-14.779015404680749</v>
      </c>
      <c r="H23" s="62">
        <f>'PL накопленные данные'!J23</f>
        <v>7.9219999999999997</v>
      </c>
      <c r="I23" s="409">
        <f>'PL накопленные данные'!K23-'PL накопленные данные'!J23</f>
        <v>-108.724</v>
      </c>
      <c r="J23" s="409">
        <f>'PL накопленные данные'!L23-'PL накопленные данные'!K23</f>
        <v>-5.1979999999999933</v>
      </c>
      <c r="K23" s="409">
        <f>'PL накопленные данные'!M23-'PL накопленные данные'!L23</f>
        <v>132.696</v>
      </c>
      <c r="L23" s="57">
        <v>-95</v>
      </c>
      <c r="M23" s="549">
        <f>'PL накопленные данные'!O23-'PL накопленные данные'!N23</f>
        <v>-20</v>
      </c>
      <c r="N23" s="549">
        <f>'PL накопленные данные'!P23-'PL накопленные данные'!O23</f>
        <v>-4</v>
      </c>
      <c r="O23" s="185">
        <f>'PL накопленные данные'!Q23-'PL накопленные данные'!P23</f>
        <v>52</v>
      </c>
      <c r="P23" s="185">
        <f>'PL накопленные данные'!R23</f>
        <v>-19</v>
      </c>
    </row>
    <row r="24" spans="2:27" ht="31.5" outlineLevel="1" x14ac:dyDescent="0.25">
      <c r="B24" s="353" t="s">
        <v>70</v>
      </c>
      <c r="C24" s="354"/>
      <c r="D24" s="62">
        <v>-0.155</v>
      </c>
      <c r="E24" s="409">
        <v>0.83399999999999996</v>
      </c>
      <c r="F24" s="409">
        <v>-0.189</v>
      </c>
      <c r="G24" s="409">
        <v>-6.3E-2</v>
      </c>
      <c r="H24" s="62">
        <f>'PL накопленные данные'!J24</f>
        <v>2.7E-2</v>
      </c>
      <c r="I24" s="409">
        <f>'PL накопленные данные'!K24-'PL накопленные данные'!J24</f>
        <v>-0.68900000000000006</v>
      </c>
      <c r="J24" s="409">
        <f>'PL накопленные данные'!L24-'PL накопленные данные'!K24</f>
        <v>-0.33799999999999997</v>
      </c>
      <c r="K24" s="409">
        <f>'PL накопленные данные'!M24-'PL накопленные данные'!L24</f>
        <v>-0.29099999999999993</v>
      </c>
      <c r="L24" s="57">
        <v>21</v>
      </c>
      <c r="M24" s="549">
        <f>'PL накопленные данные'!O24-'PL накопленные данные'!N24</f>
        <v>5</v>
      </c>
      <c r="N24" s="549">
        <f>'PL накопленные данные'!P24-'PL накопленные данные'!O24</f>
        <v>1</v>
      </c>
      <c r="O24" s="185">
        <f>'PL накопленные данные'!Q24-'PL накопленные данные'!P24</f>
        <v>-2</v>
      </c>
      <c r="P24" s="185">
        <f>'PL накопленные данные'!R24</f>
        <v>-3</v>
      </c>
    </row>
    <row r="25" spans="2:27" ht="47.25" outlineLevel="1" x14ac:dyDescent="0.25">
      <c r="B25" s="366" t="s">
        <v>71</v>
      </c>
      <c r="C25" s="367"/>
      <c r="D25" s="422">
        <v>1.7070000000000001</v>
      </c>
      <c r="E25" s="423">
        <v>29.465</v>
      </c>
      <c r="F25" s="423">
        <v>-20.571000000000002</v>
      </c>
      <c r="G25" s="423">
        <v>6.4709999999999983</v>
      </c>
      <c r="H25" s="422">
        <f>'PL накопленные данные'!J25</f>
        <v>3.5110000000000001</v>
      </c>
      <c r="I25" s="423">
        <f>'PL накопленные данные'!K25-'PL накопленные данные'!J25</f>
        <v>7.6680000000000001</v>
      </c>
      <c r="J25" s="423">
        <f>'PL накопленные данные'!L25-'PL накопленные данные'!K25</f>
        <v>17.820999999999998</v>
      </c>
      <c r="K25" s="423">
        <f>'PL накопленные данные'!M25-'PL накопленные данные'!L25</f>
        <v>11.691000000000003</v>
      </c>
      <c r="L25" s="368">
        <v>23</v>
      </c>
      <c r="M25" s="369">
        <f>'PL накопленные данные'!O25-'PL накопленные данные'!N25</f>
        <v>-91</v>
      </c>
      <c r="N25" s="369">
        <f>'PL накопленные данные'!P25-'PL накопленные данные'!O25</f>
        <v>0</v>
      </c>
      <c r="O25" s="370">
        <f>'PL накопленные данные'!Q25-'PL накопленные данные'!P25</f>
        <v>3</v>
      </c>
      <c r="P25" s="370">
        <f>'PL накопленные данные'!R25</f>
        <v>0</v>
      </c>
    </row>
    <row r="26" spans="2:27" s="243" customFormat="1" x14ac:dyDescent="0.25">
      <c r="B26" s="336"/>
      <c r="C26" s="336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</row>
    <row r="27" spans="2:27" s="243" customFormat="1" ht="31.5" x14ac:dyDescent="0.25">
      <c r="B27" s="398" t="s">
        <v>53</v>
      </c>
      <c r="C27" s="398"/>
      <c r="D27" s="266">
        <f t="shared" ref="D27:G27" si="6">D18+D20</f>
        <v>2329.9300000000012</v>
      </c>
      <c r="E27" s="266">
        <f t="shared" si="6"/>
        <v>2846.7019999999975</v>
      </c>
      <c r="F27" s="266">
        <f t="shared" si="6"/>
        <v>3741.5340000000078</v>
      </c>
      <c r="G27" s="266">
        <f t="shared" si="6"/>
        <v>1113.3190154046843</v>
      </c>
      <c r="H27" s="266">
        <f>'PL накопленные данные'!J27</f>
        <v>852.43799999999283</v>
      </c>
      <c r="I27" s="266">
        <f t="shared" ref="I27" si="7">I18+I20</f>
        <v>4498.7280000000073</v>
      </c>
      <c r="J27" s="266">
        <f t="shared" ref="J27:O27" si="8">J18+J20</f>
        <v>4153.8339999999962</v>
      </c>
      <c r="K27" s="266">
        <f t="shared" si="8"/>
        <v>1153.0429999999924</v>
      </c>
      <c r="L27" s="553">
        <f t="shared" si="8"/>
        <v>1879</v>
      </c>
      <c r="M27" s="553">
        <f t="shared" si="8"/>
        <v>4968</v>
      </c>
      <c r="N27" s="553">
        <f t="shared" si="8"/>
        <v>6072</v>
      </c>
      <c r="O27" s="553">
        <f t="shared" si="8"/>
        <v>8330</v>
      </c>
      <c r="P27" s="229">
        <f t="shared" ref="P27" si="9">P18+P20</f>
        <v>6859</v>
      </c>
    </row>
    <row r="28" spans="2:27" s="243" customFormat="1" x14ac:dyDescent="0.25">
      <c r="B28" s="342"/>
      <c r="C28" s="342"/>
      <c r="D28" s="411"/>
      <c r="E28" s="595"/>
      <c r="F28" s="411"/>
      <c r="G28" s="411"/>
      <c r="H28" s="411"/>
      <c r="I28" s="411"/>
      <c r="J28" s="411"/>
      <c r="K28" s="411"/>
      <c r="L28" s="596"/>
      <c r="M28" s="596"/>
      <c r="N28" s="596"/>
      <c r="O28" s="596"/>
      <c r="P28" s="228"/>
    </row>
    <row r="29" spans="2:27" ht="19.149999999999999" customHeight="1" x14ac:dyDescent="0.25">
      <c r="B29" s="418" t="s">
        <v>105</v>
      </c>
      <c r="C29" s="419"/>
      <c r="D29" s="424">
        <v>1164.0070000000001</v>
      </c>
      <c r="E29" s="425">
        <v>1204.2090000000001</v>
      </c>
      <c r="F29" s="425">
        <v>1691.5029999999999</v>
      </c>
      <c r="G29" s="425">
        <v>1337.806</v>
      </c>
      <c r="H29" s="424">
        <f>'PL накопленные данные'!J29</f>
        <v>1570.3240000000001</v>
      </c>
      <c r="I29" s="425">
        <f>'PL накопленные данные'!K29-'PL накопленные данные'!J29</f>
        <v>-670.22700000000009</v>
      </c>
      <c r="J29" s="425">
        <f>'PL накопленные данные'!L29-'PL накопленные данные'!K29</f>
        <v>1211.903</v>
      </c>
      <c r="K29" s="425">
        <f>'PL накопленные данные'!M29-'PL накопленные данные'!L29</f>
        <v>1577.3079999999995</v>
      </c>
      <c r="L29" s="373">
        <v>-2115</v>
      </c>
      <c r="M29" s="285">
        <f>'PL накопленные данные'!O29-'PL накопленные данные'!N29</f>
        <v>-345</v>
      </c>
      <c r="N29" s="285">
        <f>'PL накопленные данные'!P29-'PL накопленные данные'!O29</f>
        <v>2324</v>
      </c>
      <c r="O29" s="374">
        <f>'PL накопленные данные'!Q29-'PL накопленные данные'!P29</f>
        <v>415</v>
      </c>
      <c r="P29" s="374">
        <f>'PL накопленные данные'!R29</f>
        <v>604</v>
      </c>
    </row>
    <row r="30" spans="2:27" x14ac:dyDescent="0.25">
      <c r="B30" s="355" t="s">
        <v>54</v>
      </c>
      <c r="C30" s="356"/>
      <c r="D30" s="96">
        <f t="shared" ref="D30:O30" si="10">SUM(D31:D39)</f>
        <v>5971.5300000000007</v>
      </c>
      <c r="E30" s="413">
        <f t="shared" si="10"/>
        <v>6808.1130000000003</v>
      </c>
      <c r="F30" s="413">
        <f t="shared" si="10"/>
        <v>8777.6899999999987</v>
      </c>
      <c r="G30" s="413">
        <f t="shared" si="10"/>
        <v>9231.3119999999963</v>
      </c>
      <c r="H30" s="96">
        <f t="shared" si="10"/>
        <v>8791.8030000000017</v>
      </c>
      <c r="I30" s="413">
        <f t="shared" si="10"/>
        <v>8583.6239999999998</v>
      </c>
      <c r="J30" s="413">
        <f t="shared" si="10"/>
        <v>7705.5729999999985</v>
      </c>
      <c r="K30" s="413">
        <f t="shared" si="10"/>
        <v>6990.8359999999993</v>
      </c>
      <c r="L30" s="92">
        <f t="shared" si="10"/>
        <v>5886</v>
      </c>
      <c r="M30" s="550">
        <f t="shared" si="10"/>
        <v>5913</v>
      </c>
      <c r="N30" s="550">
        <f t="shared" si="10"/>
        <v>6095</v>
      </c>
      <c r="O30" s="186">
        <f t="shared" si="10"/>
        <v>5910.0000000000009</v>
      </c>
      <c r="P30" s="186">
        <f>SUM(P31:P39)</f>
        <v>5374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2:27" outlineLevel="1" x14ac:dyDescent="0.25">
      <c r="B31" s="353" t="s">
        <v>72</v>
      </c>
      <c r="C31" s="354"/>
      <c r="D31" s="62">
        <v>1573.528</v>
      </c>
      <c r="E31" s="409">
        <v>2284.7740000000003</v>
      </c>
      <c r="F31" s="409">
        <v>3710.5859999999998</v>
      </c>
      <c r="G31" s="409">
        <v>3583.0469999999996</v>
      </c>
      <c r="H31" s="62">
        <f>'PL накопленные данные'!J31</f>
        <v>3717.0749999999998</v>
      </c>
      <c r="I31" s="409">
        <f>'PL накопленные данные'!K31-'PL накопленные данные'!J31</f>
        <v>3460.4059999999999</v>
      </c>
      <c r="J31" s="409">
        <f>'PL накопленные данные'!L31-'PL накопленные данные'!K31</f>
        <v>2285.5190000000002</v>
      </c>
      <c r="K31" s="409">
        <f>'PL накопленные данные'!M31-'PL накопленные данные'!L31</f>
        <v>1684.5959999999995</v>
      </c>
      <c r="L31" s="57">
        <v>1263</v>
      </c>
      <c r="M31" s="549">
        <f>'PL накопленные данные'!O31-'PL накопленные данные'!N31</f>
        <v>1474</v>
      </c>
      <c r="N31" s="549">
        <f>'PL накопленные данные'!P31-'PL накопленные данные'!O31</f>
        <v>1490</v>
      </c>
      <c r="O31" s="185">
        <f>'PL накопленные данные'!Q31-'PL накопленные данные'!P31</f>
        <v>1169</v>
      </c>
      <c r="P31" s="185">
        <f>'PL накопленные данные'!R31</f>
        <v>517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2:27" outlineLevel="1" x14ac:dyDescent="0.25">
      <c r="B32" s="351" t="s">
        <v>73</v>
      </c>
      <c r="C32" s="352"/>
      <c r="D32" s="62">
        <v>1530.3980024700002</v>
      </c>
      <c r="E32" s="409">
        <v>1639.5599588199991</v>
      </c>
      <c r="F32" s="409">
        <v>1712.399956169997</v>
      </c>
      <c r="G32" s="409">
        <v>1855.9838899800006</v>
      </c>
      <c r="H32" s="62">
        <f>'PL накопленные данные'!J32</f>
        <v>1720.2607074399994</v>
      </c>
      <c r="I32" s="409">
        <f>'PL накопленные данные'!K32-'PL накопленные данные'!J32</f>
        <v>1874.7266066499978</v>
      </c>
      <c r="J32" s="409">
        <f>'PL накопленные данные'!L32-'PL накопленные данные'!K32</f>
        <v>1993.0126859100028</v>
      </c>
      <c r="K32" s="409">
        <f>'PL накопленные данные'!M32-'PL накопленные данные'!L32</f>
        <v>2039.6382876399957</v>
      </c>
      <c r="L32" s="57">
        <v>1970</v>
      </c>
      <c r="M32" s="549">
        <f>'PL накопленные данные'!O32-'PL накопленные данные'!N32</f>
        <v>1926</v>
      </c>
      <c r="N32" s="549">
        <f>'PL накопленные данные'!P32-'PL накопленные данные'!O32</f>
        <v>1920</v>
      </c>
      <c r="O32" s="185">
        <f>'PL накопленные данные'!Q32-'PL накопленные данные'!P32</f>
        <v>1963</v>
      </c>
      <c r="P32" s="185">
        <f>'PL накопленные данные'!R32</f>
        <v>2131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2:27" outlineLevel="1" x14ac:dyDescent="0.25">
      <c r="B33" s="351" t="s">
        <v>74</v>
      </c>
      <c r="C33" s="352"/>
      <c r="D33" s="62">
        <v>1008.1409975299998</v>
      </c>
      <c r="E33" s="409">
        <v>783.52304118000075</v>
      </c>
      <c r="F33" s="409">
        <v>1236.3430438300029</v>
      </c>
      <c r="G33" s="409">
        <v>1606.2191100199998</v>
      </c>
      <c r="H33" s="62">
        <f>'PL накопленные данные'!J33</f>
        <v>1233.5022925600006</v>
      </c>
      <c r="I33" s="409">
        <f>'PL накопленные данные'!K33-'PL накопленные данные'!J33</f>
        <v>1036.9853933500021</v>
      </c>
      <c r="J33" s="409">
        <f>'PL накопленные данные'!L33-'PL накопленные данные'!K33</f>
        <v>1305.5123140899973</v>
      </c>
      <c r="K33" s="409">
        <f>'PL накопленные данные'!M33-'PL накопленные данные'!L33</f>
        <v>1252.8527123600043</v>
      </c>
      <c r="L33" s="57">
        <f>'PL накопленные данные'!N33</f>
        <v>971</v>
      </c>
      <c r="M33" s="549">
        <f>'PL накопленные данные'!O33-'PL накопленные данные'!N33</f>
        <v>988</v>
      </c>
      <c r="N33" s="549">
        <f>'PL накопленные данные'!P33-'PL накопленные данные'!O33</f>
        <v>1169</v>
      </c>
      <c r="O33" s="185">
        <f>'PL накопленные данные'!Q33-'PL накопленные данные'!P33</f>
        <v>1121</v>
      </c>
      <c r="P33" s="185">
        <f>'PL накопленные данные'!R33</f>
        <v>1100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17.100000000000001" customHeight="1" outlineLevel="1" x14ac:dyDescent="0.25">
      <c r="B34" s="298" t="s">
        <v>75</v>
      </c>
      <c r="C34" s="246"/>
      <c r="D34" s="62">
        <v>782.80799999999999</v>
      </c>
      <c r="E34" s="409">
        <v>939.67800000000011</v>
      </c>
      <c r="F34" s="409">
        <v>909.50299999999993</v>
      </c>
      <c r="G34" s="409">
        <v>982.06899999999996</v>
      </c>
      <c r="H34" s="62">
        <f>'PL накопленные данные'!J34</f>
        <v>963.96299999999997</v>
      </c>
      <c r="I34" s="409">
        <f>'PL накопленные данные'!K34-'PL накопленные данные'!J34</f>
        <v>955.80700000000002</v>
      </c>
      <c r="J34" s="409">
        <f>'PL накопленные данные'!L34-'PL накопленные данные'!K34</f>
        <v>960.23</v>
      </c>
      <c r="K34" s="409">
        <f>'PL накопленные данные'!M34-'PL накопленные данные'!L34</f>
        <v>801.45699999999988</v>
      </c>
      <c r="L34" s="58">
        <v>638</v>
      </c>
      <c r="M34" s="554">
        <f>'PL накопленные данные'!O34-'PL накопленные данные'!N34</f>
        <v>590</v>
      </c>
      <c r="N34" s="549">
        <f>'PL накопленные данные'!P34-'PL накопленные данные'!O34</f>
        <v>555</v>
      </c>
      <c r="O34" s="185">
        <f>'PL накопленные данные'!Q34-'PL накопленные данные'!P34</f>
        <v>554</v>
      </c>
      <c r="P34" s="185">
        <f>'PL накопленные данные'!R34</f>
        <v>545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17.100000000000001" customHeight="1" outlineLevel="1" x14ac:dyDescent="0.25">
      <c r="B35" s="298" t="s">
        <v>147</v>
      </c>
      <c r="C35" s="246"/>
      <c r="D35" s="62">
        <v>777.79700000000003</v>
      </c>
      <c r="E35" s="409">
        <v>788.93000000000006</v>
      </c>
      <c r="F35" s="409">
        <v>760.452</v>
      </c>
      <c r="G35" s="409">
        <v>738.86899999999969</v>
      </c>
      <c r="H35" s="62">
        <f>'PL накопленные данные'!J35</f>
        <v>718.38599999999997</v>
      </c>
      <c r="I35" s="409">
        <f>'PL накопленные данные'!K35-'PL накопленные данные'!J35</f>
        <v>749.50900000000001</v>
      </c>
      <c r="J35" s="409">
        <f>'PL накопленные данные'!L35-'PL накопленные данные'!K35</f>
        <v>731.10500000000002</v>
      </c>
      <c r="K35" s="409">
        <f>'PL накопленные данные'!M35-'PL накопленные данные'!L35</f>
        <v>763.1909999999998</v>
      </c>
      <c r="L35" s="146">
        <v>739</v>
      </c>
      <c r="M35" s="555">
        <f>'PL накопленные данные'!O35-'PL накопленные данные'!N35</f>
        <v>683</v>
      </c>
      <c r="N35" s="549">
        <f>'PL накопленные данные'!P35-'PL накопленные данные'!O35</f>
        <v>713</v>
      </c>
      <c r="O35" s="185">
        <f>'PL накопленные данные'!Q35-'PL накопленные данные'!P35</f>
        <v>717</v>
      </c>
      <c r="P35" s="185">
        <f>'PL накопленные данные'!R35</f>
        <v>658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2:27" ht="17.100000000000001" customHeight="1" outlineLevel="1" x14ac:dyDescent="0.25">
      <c r="B36" s="351" t="s">
        <v>180</v>
      </c>
      <c r="C36" s="246"/>
      <c r="D36" s="62">
        <f>'PL накопленные данные'!F36</f>
        <v>6.8957232699999986</v>
      </c>
      <c r="E36" s="409">
        <f>'PL накопленные данные'!G36-'PL накопленные данные'!F36</f>
        <v>4.5753052300000041</v>
      </c>
      <c r="F36" s="409">
        <f>'PL накопленные данные'!H36-'PL накопленные данные'!G36</f>
        <v>5.2872644999999991</v>
      </c>
      <c r="G36" s="409">
        <f>'PL накопленные данные'!I36-'PL накопленные данные'!H36</f>
        <v>6.4609276500000021</v>
      </c>
      <c r="H36" s="62">
        <f>'PL накопленные данные'!J36</f>
        <v>9.0011530099999995</v>
      </c>
      <c r="I36" s="409">
        <f>'PL накопленные данные'!K36-'PL накопленные данные'!J36</f>
        <v>80.788158089999982</v>
      </c>
      <c r="J36" s="409">
        <f>'PL накопленные данные'!L36-'PL накопленные данные'!K36</f>
        <v>8.5848458200000124</v>
      </c>
      <c r="K36" s="409">
        <f>'PL накопленные данные'!M36-'PL накопленные данные'!L36</f>
        <v>21.089660670000015</v>
      </c>
      <c r="L36" s="146">
        <f>'PL накопленные данные'!N36</f>
        <v>9.7193055900000012</v>
      </c>
      <c r="M36" s="555">
        <f>'PL накопленные данные'!O36-'PL накопленные данные'!N36</f>
        <v>8.8089595199999948</v>
      </c>
      <c r="N36" s="549">
        <f>'PL накопленные данные'!P36-'PL накопленные данные'!O36</f>
        <v>13.598621000000005</v>
      </c>
      <c r="O36" s="185">
        <f>'PL накопленные данные'!Q36-'PL накопленные данные'!P36</f>
        <v>18.873113889999999</v>
      </c>
      <c r="P36" s="185">
        <f>'PL накопленные данные'!R36</f>
        <v>97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2:27" outlineLevel="1" x14ac:dyDescent="0.25">
      <c r="B37" s="353" t="s">
        <v>138</v>
      </c>
      <c r="C37" s="354"/>
      <c r="D37" s="62">
        <v>114.43412391999992</v>
      </c>
      <c r="E37" s="409">
        <v>193.0746126199997</v>
      </c>
      <c r="F37" s="409">
        <v>297.35847607000039</v>
      </c>
      <c r="G37" s="409">
        <v>361.17403242999956</v>
      </c>
      <c r="H37" s="62">
        <f>'PL накопленные данные'!J37</f>
        <v>325.74638770000013</v>
      </c>
      <c r="I37" s="409">
        <f>'PL накопленные данные'!K37-'PL накопленные данные'!J37</f>
        <v>334.22690996999984</v>
      </c>
      <c r="J37" s="409">
        <f>'PL накопленные данные'!L37-'PL накопленные данные'!K37</f>
        <v>354.02670233000003</v>
      </c>
      <c r="K37" s="409">
        <f>'PL накопленные данные'!M37-'PL накопленные данные'!L37</f>
        <v>351.17964513999959</v>
      </c>
      <c r="L37" s="57">
        <v>227</v>
      </c>
      <c r="M37" s="549">
        <f>'PL накопленные данные'!O37-'PL накопленные данные'!N37</f>
        <v>137</v>
      </c>
      <c r="N37" s="549">
        <f>'PL накопленные данные'!P37-'PL накопленные данные'!O37</f>
        <v>114</v>
      </c>
      <c r="O37" s="185">
        <f>'PL накопленные данные'!Q37-'PL накопленные данные'!P37</f>
        <v>145</v>
      </c>
      <c r="P37" s="185">
        <f>'PL накопленные данные'!R37</f>
        <v>94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2:27" ht="17.100000000000001" customHeight="1" outlineLevel="1" x14ac:dyDescent="0.25">
      <c r="B38" s="351" t="s">
        <v>77</v>
      </c>
      <c r="C38" s="352"/>
      <c r="D38" s="62">
        <v>42.412999999999997</v>
      </c>
      <c r="E38" s="409">
        <v>34.391000000000005</v>
      </c>
      <c r="F38" s="409">
        <v>39.897999999999996</v>
      </c>
      <c r="G38" s="409">
        <v>60.90100000000001</v>
      </c>
      <c r="H38" s="62">
        <f>'PL накопленные данные'!J38</f>
        <v>38.914999999999999</v>
      </c>
      <c r="I38" s="409">
        <f>'PL накопленные данные'!K38-'PL накопленные данные'!J38</f>
        <v>38.43399999999999</v>
      </c>
      <c r="J38" s="409">
        <f>'PL накопленные данные'!L38-'PL накопленные данные'!K38</f>
        <v>37.65100000000001</v>
      </c>
      <c r="K38" s="409">
        <f>'PL накопленные данные'!M38-'PL накопленные данные'!L38</f>
        <v>32.72999999999999</v>
      </c>
      <c r="L38" s="57">
        <v>29.963999999999999</v>
      </c>
      <c r="M38" s="549">
        <f>'PL накопленные данные'!O38-'PL накопленные данные'!N38</f>
        <v>24.407000000000004</v>
      </c>
      <c r="N38" s="549">
        <f>'PL накопленные данные'!P38-'PL накопленные данные'!O38</f>
        <v>28.283999999999999</v>
      </c>
      <c r="O38" s="185">
        <f>'PL накопленные данные'!Q38-'PL накопленные данные'!P38</f>
        <v>44.344999999999999</v>
      </c>
      <c r="P38" s="185">
        <f>'PL накопленные данные'!R38</f>
        <v>58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2:27" outlineLevel="1" x14ac:dyDescent="0.25">
      <c r="B39" s="351" t="s">
        <v>47</v>
      </c>
      <c r="C39" s="352"/>
      <c r="D39" s="62">
        <f>'PL накопленные данные'!F39</f>
        <v>135.1151528100001</v>
      </c>
      <c r="E39" s="409">
        <f>'PL накопленные данные'!G39-'PL накопленные данные'!F39</f>
        <v>139.60708215000028</v>
      </c>
      <c r="F39" s="409">
        <f>'PL накопленные данные'!H39-'PL накопленные данные'!G39</f>
        <v>105.8622594299996</v>
      </c>
      <c r="G39" s="409">
        <f>'PL накопленные данные'!I39-'PL накопленные данные'!H39</f>
        <v>36.588039920000369</v>
      </c>
      <c r="H39" s="62">
        <f>'PL накопленные данные'!J39</f>
        <v>64.953459289999884</v>
      </c>
      <c r="I39" s="409">
        <f>'PL накопленные данные'!K39-'PL накопленные данные'!J39</f>
        <v>52.740931940000195</v>
      </c>
      <c r="J39" s="409">
        <f>'PL накопленные данные'!L39-'PL накопленные данные'!K39</f>
        <v>29.931451849999931</v>
      </c>
      <c r="K39" s="409">
        <f>'PL накопленные данные'!M39-'PL накопленные данные'!L39</f>
        <v>44.101694190000245</v>
      </c>
      <c r="L39" s="146">
        <f>'PL накопленные данные'!N39</f>
        <v>38.316694409999997</v>
      </c>
      <c r="M39" s="555">
        <f>'PL накопленные данные'!O39-'PL накопленные данные'!N39</f>
        <v>81.784040480000002</v>
      </c>
      <c r="N39" s="549">
        <f>'PL накопленные данные'!P39-'PL накопленные данные'!O39</f>
        <v>92.117378999999985</v>
      </c>
      <c r="O39" s="185">
        <f>'PL накопленные данные'!Q39-'PL накопленные данные'!P39</f>
        <v>177.78188611000002</v>
      </c>
      <c r="P39" s="185">
        <f>'PL накопленные данные'!R39</f>
        <v>174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2:27" x14ac:dyDescent="0.25">
      <c r="B40" s="355" t="s">
        <v>81</v>
      </c>
      <c r="C40" s="356"/>
      <c r="D40" s="96">
        <f t="shared" ref="D40:G40" si="11">D41+D42+D43+D44+D45+D46</f>
        <v>-2007.3749999999998</v>
      </c>
      <c r="E40" s="413">
        <f t="shared" si="11"/>
        <v>-2414.0930000000003</v>
      </c>
      <c r="F40" s="413">
        <f t="shared" si="11"/>
        <v>-2244.2689999999998</v>
      </c>
      <c r="G40" s="413">
        <f t="shared" si="11"/>
        <v>-2683.3029999999999</v>
      </c>
      <c r="H40" s="96">
        <f t="shared" ref="H40:I40" si="12">H41+H42+H43+H44+H45+H46</f>
        <v>-2101.3080000000004</v>
      </c>
      <c r="I40" s="413">
        <f t="shared" si="12"/>
        <v>-2235.3049999999998</v>
      </c>
      <c r="J40" s="413">
        <f t="shared" ref="J40:O40" si="13">J41+J42+J43+J44+J45+J46</f>
        <v>-2362.0669999999996</v>
      </c>
      <c r="K40" s="413">
        <f t="shared" si="13"/>
        <v>-2141.6619999999998</v>
      </c>
      <c r="L40" s="92">
        <f t="shared" si="13"/>
        <v>-1899</v>
      </c>
      <c r="M40" s="550">
        <f t="shared" si="13"/>
        <v>-2119</v>
      </c>
      <c r="N40" s="550">
        <f t="shared" si="13"/>
        <v>-2067</v>
      </c>
      <c r="O40" s="186">
        <f t="shared" si="13"/>
        <v>-2517</v>
      </c>
      <c r="P40" s="186">
        <f t="shared" ref="P40" si="14">P41+P42+P43+P44+P45+P46</f>
        <v>-2179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2:27" outlineLevel="1" x14ac:dyDescent="0.25">
      <c r="B41" s="351" t="s">
        <v>74</v>
      </c>
      <c r="C41" s="352"/>
      <c r="D41" s="62">
        <v>-1091.587</v>
      </c>
      <c r="E41" s="409">
        <v>-1307.99</v>
      </c>
      <c r="F41" s="409">
        <v>-1157.289</v>
      </c>
      <c r="G41" s="409">
        <v>-1502.2799999999997</v>
      </c>
      <c r="H41" s="62">
        <f>'PL накопленные данные'!J41</f>
        <v>-1060.9960000000001</v>
      </c>
      <c r="I41" s="409">
        <f>'PL накопленные данные'!K41-'PL накопленные данные'!J41</f>
        <v>-1093.1329999999998</v>
      </c>
      <c r="J41" s="409">
        <f>'PL накопленные данные'!L41-'PL накопленные данные'!K41</f>
        <v>-1277.8710000000001</v>
      </c>
      <c r="K41" s="409">
        <f>'PL накопленные данные'!M41-'PL накопленные данные'!L41</f>
        <v>-1122.5619999999999</v>
      </c>
      <c r="L41" s="57">
        <v>-968</v>
      </c>
      <c r="M41" s="549">
        <f>'PL накопленные данные'!O41-'PL накопленные данные'!N41</f>
        <v>-1049</v>
      </c>
      <c r="N41" s="549">
        <f>'PL накопленные данные'!P41-'PL накопленные данные'!O41</f>
        <v>-1147</v>
      </c>
      <c r="O41" s="185">
        <f>'PL накопленные данные'!Q41-'PL накопленные данные'!P41</f>
        <v>-1468</v>
      </c>
      <c r="P41" s="185">
        <f>'PL накопленные данные'!R41</f>
        <v>-1165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2:27" outlineLevel="1" x14ac:dyDescent="0.25">
      <c r="B42" s="351" t="s">
        <v>78</v>
      </c>
      <c r="C42" s="352"/>
      <c r="D42" s="62">
        <v>-690.649</v>
      </c>
      <c r="E42" s="409">
        <v>-785.35400000000004</v>
      </c>
      <c r="F42" s="409">
        <v>-831.59500000000003</v>
      </c>
      <c r="G42" s="409">
        <v>-909.80499999999984</v>
      </c>
      <c r="H42" s="62">
        <f>'PL накопленные данные'!J42</f>
        <v>-806.18799999999999</v>
      </c>
      <c r="I42" s="409">
        <f>'PL накопленные данные'!K42-'PL накопленные данные'!J42</f>
        <v>-891.97300000000007</v>
      </c>
      <c r="J42" s="409">
        <f>'PL накопленные данные'!L42-'PL накопленные данные'!K42</f>
        <v>-799.83899999999994</v>
      </c>
      <c r="K42" s="409">
        <f>'PL накопленные данные'!M42-'PL накопленные данные'!L42</f>
        <v>-788.80799999999999</v>
      </c>
      <c r="L42" s="57">
        <v>-679</v>
      </c>
      <c r="M42" s="549">
        <f>'PL накопленные данные'!O42-'PL накопленные данные'!N42</f>
        <v>-787</v>
      </c>
      <c r="N42" s="549">
        <f>'PL накопленные данные'!P42-'PL накопленные данные'!O42</f>
        <v>-684</v>
      </c>
      <c r="O42" s="185">
        <f>'PL накопленные данные'!Q42-'PL накопленные данные'!P42</f>
        <v>-808</v>
      </c>
      <c r="P42" s="185">
        <f>'PL накопленные данные'!R42</f>
        <v>-804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2:27" outlineLevel="1" x14ac:dyDescent="0.25">
      <c r="B43" s="351" t="s">
        <v>79</v>
      </c>
      <c r="C43" s="352"/>
      <c r="D43" s="62">
        <v>-109.129</v>
      </c>
      <c r="E43" s="409">
        <v>-200.06</v>
      </c>
      <c r="F43" s="409">
        <v>-141.006</v>
      </c>
      <c r="G43" s="409">
        <v>-146.07800000000003</v>
      </c>
      <c r="H43" s="62">
        <f>'PL накопленные данные'!J43</f>
        <v>-151.73599999999999</v>
      </c>
      <c r="I43" s="409">
        <f>'PL накопленные данные'!K43-'PL накопленные данные'!J43</f>
        <v>-197.78399999999999</v>
      </c>
      <c r="J43" s="409">
        <f>'PL накопленные данные'!L43-'PL накопленные данные'!K43</f>
        <v>-190.48000000000002</v>
      </c>
      <c r="K43" s="409">
        <f>'PL накопленные данные'!M43-'PL накопленные данные'!L43</f>
        <v>-113.15300000000002</v>
      </c>
      <c r="L43" s="57">
        <v>-195</v>
      </c>
      <c r="M43" s="549">
        <f>'PL накопленные данные'!O43-'PL накопленные данные'!N43</f>
        <v>-210</v>
      </c>
      <c r="N43" s="549">
        <f>'PL накопленные данные'!P43-'PL накопленные данные'!O43</f>
        <v>-156</v>
      </c>
      <c r="O43" s="185">
        <f>'PL накопленные данные'!Q43-'PL накопленные данные'!P43</f>
        <v>-123</v>
      </c>
      <c r="P43" s="185">
        <f>'PL накопленные данные'!R43</f>
        <v>-96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2:27" outlineLevel="1" x14ac:dyDescent="0.25">
      <c r="B44" s="351" t="s">
        <v>80</v>
      </c>
      <c r="C44" s="352"/>
      <c r="D44" s="62">
        <v>-72.540999999999997</v>
      </c>
      <c r="E44" s="409">
        <v>-63.616999999999997</v>
      </c>
      <c r="F44" s="409">
        <v>-75.864999999999995</v>
      </c>
      <c r="G44" s="409">
        <v>-70.580999999999989</v>
      </c>
      <c r="H44" s="62">
        <f>'PL накопленные данные'!J44</f>
        <v>-50.228000000000002</v>
      </c>
      <c r="I44" s="409">
        <f>'PL накопленные данные'!K44-'PL накопленные данные'!J44</f>
        <v>-28.196999999999996</v>
      </c>
      <c r="J44" s="409">
        <f>'PL накопленные данные'!L44-'PL накопленные данные'!K44</f>
        <v>-77.575000000000003</v>
      </c>
      <c r="K44" s="409">
        <f>'PL накопленные данные'!M44-'PL накопленные данные'!L44</f>
        <v>-86.933999999999997</v>
      </c>
      <c r="L44" s="57">
        <v>-41</v>
      </c>
      <c r="M44" s="549">
        <f>'PL накопленные данные'!O44-'PL накопленные данные'!N44</f>
        <v>-55</v>
      </c>
      <c r="N44" s="549">
        <f>'PL накопленные данные'!P44-'PL накопленные данные'!O44</f>
        <v>-59</v>
      </c>
      <c r="O44" s="185">
        <f>'PL накопленные данные'!Q44-'PL накопленные данные'!P44</f>
        <v>-76</v>
      </c>
      <c r="P44" s="185">
        <f>'PL накопленные данные'!R44</f>
        <v>-34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2:27" outlineLevel="1" x14ac:dyDescent="0.25">
      <c r="B45" s="351" t="s">
        <v>76</v>
      </c>
      <c r="C45" s="352"/>
      <c r="D45" s="62">
        <v>-10.252000000000001</v>
      </c>
      <c r="E45" s="409">
        <v>-10.243</v>
      </c>
      <c r="F45" s="409">
        <v>-13.926</v>
      </c>
      <c r="G45" s="409">
        <v>-7.6630000000000038</v>
      </c>
      <c r="H45" s="62">
        <f>'PL накопленные данные'!J45</f>
        <v>-7.5830000000000002</v>
      </c>
      <c r="I45" s="409">
        <f>'PL накопленные данные'!K45-'PL накопленные данные'!J45</f>
        <v>-7.6760000000000002</v>
      </c>
      <c r="J45" s="409">
        <f>'PL накопленные данные'!L45-'PL накопленные данные'!K45</f>
        <v>-3.4209999999999994</v>
      </c>
      <c r="K45" s="409">
        <f>'PL накопленные данные'!M45-'PL накопленные данные'!L45</f>
        <v>-4.2920000000000016</v>
      </c>
      <c r="L45" s="57">
        <v>-3.8889999999999998</v>
      </c>
      <c r="M45" s="549">
        <f>'PL накопленные данные'!O45-'PL накопленные данные'!N45</f>
        <v>-3.9159999999999999</v>
      </c>
      <c r="N45" s="549">
        <f>'PL накопленные данные'!P45-'PL накопленные данные'!O45</f>
        <v>-3.9169999999999998</v>
      </c>
      <c r="O45" s="185">
        <f>'PL накопленные данные'!Q45-'PL накопленные данные'!P45</f>
        <v>-1.2780000000000005</v>
      </c>
      <c r="P45" s="185">
        <f>'PL накопленные данные'!R45</f>
        <v>-3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2:27" outlineLevel="1" x14ac:dyDescent="0.25">
      <c r="B46" s="377" t="s">
        <v>47</v>
      </c>
      <c r="C46" s="378"/>
      <c r="D46" s="422">
        <v>-33.216999999999999</v>
      </c>
      <c r="E46" s="423">
        <v>-46.829000000000001</v>
      </c>
      <c r="F46" s="423">
        <v>-24.588000000000001</v>
      </c>
      <c r="G46" s="423">
        <v>-46.896000000000001</v>
      </c>
      <c r="H46" s="422">
        <f>'PL накопленные данные'!J46</f>
        <v>-24.577000000000002</v>
      </c>
      <c r="I46" s="423">
        <f>'PL накопленные данные'!K46-'PL накопленные данные'!J46</f>
        <v>-16.541999999999998</v>
      </c>
      <c r="J46" s="423">
        <f>'PL накопленные данные'!L46-'PL накопленные данные'!K46</f>
        <v>-12.881</v>
      </c>
      <c r="K46" s="423">
        <f>'PL накопленные данные'!M46-'PL накопленные данные'!L46</f>
        <v>-25.913000000000011</v>
      </c>
      <c r="L46" s="368">
        <v>-12.111000000000001</v>
      </c>
      <c r="M46" s="369">
        <f>'PL накопленные данные'!O46-'PL накопленные данные'!N46</f>
        <v>-14.084</v>
      </c>
      <c r="N46" s="369">
        <f>'PL накопленные данные'!P46-'PL накопленные данные'!O46</f>
        <v>-17.082999999999998</v>
      </c>
      <c r="O46" s="370">
        <f>'PL накопленные данные'!Q46-'PL накопленные данные'!P46</f>
        <v>-40.722000000000001</v>
      </c>
      <c r="P46" s="370">
        <f>'PL накопленные данные'!R46</f>
        <v>-77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2:27" s="243" customFormat="1" x14ac:dyDescent="0.25">
      <c r="B47" s="332"/>
      <c r="C47" s="332"/>
      <c r="D47" s="399"/>
      <c r="E47" s="399"/>
      <c r="F47" s="399"/>
      <c r="G47" s="399"/>
      <c r="H47" s="399"/>
      <c r="I47" s="399"/>
      <c r="J47" s="399"/>
      <c r="K47" s="399"/>
      <c r="L47" s="556"/>
      <c r="M47" s="556"/>
      <c r="N47" s="556"/>
      <c r="O47" s="556"/>
      <c r="P47" s="231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</row>
    <row r="48" spans="2:27" s="243" customFormat="1" x14ac:dyDescent="0.25">
      <c r="B48" s="400" t="s">
        <v>104</v>
      </c>
      <c r="C48" s="400"/>
      <c r="D48" s="266">
        <f t="shared" ref="D48:G48" si="15">D30+D40</f>
        <v>3964.1550000000007</v>
      </c>
      <c r="E48" s="266">
        <f t="shared" si="15"/>
        <v>4394.0200000000004</v>
      </c>
      <c r="F48" s="266">
        <f t="shared" si="15"/>
        <v>6533.4209999999985</v>
      </c>
      <c r="G48" s="266">
        <f t="shared" si="15"/>
        <v>6548.0089999999964</v>
      </c>
      <c r="H48" s="266">
        <f t="shared" ref="H48:I48" si="16">H30+H40</f>
        <v>6690.4950000000008</v>
      </c>
      <c r="I48" s="266">
        <f t="shared" si="16"/>
        <v>6348.3189999999995</v>
      </c>
      <c r="J48" s="266">
        <f t="shared" ref="J48:O48" si="17">J30+J40</f>
        <v>5343.5059999999994</v>
      </c>
      <c r="K48" s="266">
        <f t="shared" si="17"/>
        <v>4849.1739999999991</v>
      </c>
      <c r="L48" s="553">
        <f t="shared" si="17"/>
        <v>3987</v>
      </c>
      <c r="M48" s="553">
        <f t="shared" si="17"/>
        <v>3794</v>
      </c>
      <c r="N48" s="553">
        <f t="shared" si="17"/>
        <v>4028</v>
      </c>
      <c r="O48" s="553">
        <f t="shared" si="17"/>
        <v>3393.0000000000009</v>
      </c>
      <c r="P48" s="229">
        <f t="shared" ref="P48" si="18">P30+P40</f>
        <v>3195</v>
      </c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</row>
    <row r="49" spans="2:27" s="243" customFormat="1" x14ac:dyDescent="0.25">
      <c r="B49" s="332"/>
      <c r="C49" s="332"/>
      <c r="D49" s="399"/>
      <c r="E49" s="399"/>
      <c r="F49" s="399"/>
      <c r="G49" s="399"/>
      <c r="H49" s="399"/>
      <c r="I49" s="399"/>
      <c r="J49" s="399"/>
      <c r="K49" s="399"/>
      <c r="L49" s="556"/>
      <c r="M49" s="556"/>
      <c r="N49" s="556"/>
      <c r="O49" s="556"/>
      <c r="P49" s="231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</row>
    <row r="50" spans="2:27" x14ac:dyDescent="0.25">
      <c r="B50" s="379" t="s">
        <v>56</v>
      </c>
      <c r="C50" s="372"/>
      <c r="D50" s="424">
        <v>536.06299999999999</v>
      </c>
      <c r="E50" s="426">
        <v>628.69200000000001</v>
      </c>
      <c r="F50" s="425">
        <v>675.17</v>
      </c>
      <c r="G50" s="425">
        <v>760.49700000000007</v>
      </c>
      <c r="H50" s="424">
        <f>'PL накопленные данные'!J50</f>
        <v>699.97299999999996</v>
      </c>
      <c r="I50" s="425">
        <f>'PL накопленные данные'!K50-'PL накопленные данные'!J50</f>
        <v>854.43600000000015</v>
      </c>
      <c r="J50" s="425">
        <f>'PL накопленные данные'!L50-'PL накопленные данные'!K50</f>
        <v>886.59099999999989</v>
      </c>
      <c r="K50" s="425">
        <f>'PL накопленные данные'!M50-'PL накопленные данные'!L50</f>
        <v>993.10300000000007</v>
      </c>
      <c r="L50" s="373">
        <v>921</v>
      </c>
      <c r="M50" s="285">
        <f>'PL накопленные данные'!O50-'PL накопленные данные'!N50</f>
        <v>1104</v>
      </c>
      <c r="N50" s="285">
        <f>'PL накопленные данные'!P50-'PL накопленные данные'!O50</f>
        <v>1208</v>
      </c>
      <c r="O50" s="374">
        <f>'PL накопленные данные'!Q50-'PL накопленные данные'!P50</f>
        <v>1272</v>
      </c>
      <c r="P50" s="374">
        <f>'PL накопленные данные'!R50</f>
        <v>20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2:27" ht="19.149999999999999" customHeight="1" x14ac:dyDescent="0.25">
      <c r="B51" s="294" t="s">
        <v>57</v>
      </c>
      <c r="C51" s="295"/>
      <c r="D51" s="97">
        <v>-36.125999999999998</v>
      </c>
      <c r="E51" s="427">
        <v>-1052.9079999999999</v>
      </c>
      <c r="F51" s="404">
        <v>-1583.9849999999999</v>
      </c>
      <c r="G51" s="404">
        <v>-1438.8060154046811</v>
      </c>
      <c r="H51" s="97">
        <f>'PL накопленные данные'!J51</f>
        <v>-389.63099999999997</v>
      </c>
      <c r="I51" s="404">
        <f>'PL накопленные данные'!K51-'PL накопленные данные'!J51</f>
        <v>-303.41500000000008</v>
      </c>
      <c r="J51" s="404">
        <f>'PL накопленные данные'!L51-'PL накопленные данные'!K51</f>
        <v>-676.95399999999995</v>
      </c>
      <c r="K51" s="404">
        <f>'PL накопленные данные'!M51-'PL накопленные данные'!L51</f>
        <v>-117.7940000000001</v>
      </c>
      <c r="L51" s="93">
        <v>1793</v>
      </c>
      <c r="M51" s="551">
        <f>'PL накопленные данные'!O51-'PL накопленные данные'!N51</f>
        <v>-266</v>
      </c>
      <c r="N51" s="551">
        <f>'PL накопленные данные'!P51-'PL накопленные данные'!O51</f>
        <v>-585</v>
      </c>
      <c r="O51" s="187">
        <f>'PL накопленные данные'!Q51-'PL накопленные данные'!P51</f>
        <v>-533</v>
      </c>
      <c r="P51" s="187">
        <f>'PL накопленные данные'!R51</f>
        <v>-629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2:27" x14ac:dyDescent="0.25">
      <c r="B52" s="382" t="s">
        <v>59</v>
      </c>
      <c r="C52" s="344"/>
      <c r="D52" s="97">
        <v>-411.11799999999999</v>
      </c>
      <c r="E52" s="405">
        <v>-116.797</v>
      </c>
      <c r="F52" s="404">
        <v>-174.47900000000001</v>
      </c>
      <c r="G52" s="404">
        <v>-370.50800000000004</v>
      </c>
      <c r="H52" s="97">
        <f>'PL накопленные данные'!J52</f>
        <v>0</v>
      </c>
      <c r="I52" s="404">
        <f>'PL накопленные данные'!K52-'PL накопленные данные'!J52</f>
        <v>0</v>
      </c>
      <c r="J52" s="404">
        <f>'PL накопленные данные'!L52-'PL накопленные данные'!K52</f>
        <v>0</v>
      </c>
      <c r="K52" s="404">
        <f>'PL накопленные данные'!M52-'PL накопленные данные'!L52</f>
        <v>1.0109999999999999</v>
      </c>
      <c r="L52" s="93">
        <v>0</v>
      </c>
      <c r="M52" s="551">
        <f>'PL накопленные данные'!O52-'PL накопленные данные'!N52</f>
        <v>0</v>
      </c>
      <c r="N52" s="551">
        <f>'PL накопленные данные'!P52-'PL накопленные данные'!O52</f>
        <v>0</v>
      </c>
      <c r="O52" s="187">
        <f>'PL накопленные данные'!Q52-'PL накопленные данные'!P52</f>
        <v>-297</v>
      </c>
      <c r="P52" s="187">
        <f>'PL накопленные данные'!R52</f>
        <v>0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2:27" x14ac:dyDescent="0.25">
      <c r="B53" s="382" t="s">
        <v>60</v>
      </c>
      <c r="C53" s="344"/>
      <c r="D53" s="97">
        <v>2.2120000000000033</v>
      </c>
      <c r="E53" s="405">
        <v>15.16299999999999</v>
      </c>
      <c r="F53" s="404">
        <v>33.662999999999997</v>
      </c>
      <c r="G53" s="404">
        <v>162.35399999999998</v>
      </c>
      <c r="H53" s="97">
        <f>'PL накопленные данные'!J53</f>
        <v>9.9785980000000905</v>
      </c>
      <c r="I53" s="404">
        <f>'PL накопленные данные'!K53-'PL накопленные данные'!J53</f>
        <v>-1441.4683956400004</v>
      </c>
      <c r="J53" s="404">
        <f>'PL накопленные данные'!L53-'PL накопленные данные'!K53</f>
        <v>108.48979764000023</v>
      </c>
      <c r="K53" s="404">
        <f>'PL накопленные данные'!M53-'PL накопленные данные'!L53</f>
        <v>-686.22321549000071</v>
      </c>
      <c r="L53" s="93">
        <v>287</v>
      </c>
      <c r="M53" s="551">
        <f>'PL накопленные данные'!O53-'PL накопленные данные'!N53</f>
        <v>314</v>
      </c>
      <c r="N53" s="551">
        <f>'PL накопленные данные'!P53-'PL накопленные данные'!O53</f>
        <v>420</v>
      </c>
      <c r="O53" s="187">
        <f>'PL накопленные данные'!Q53-'PL накопленные данные'!P53</f>
        <v>284</v>
      </c>
      <c r="P53" s="187">
        <f>'PL накопленные данные'!R53</f>
        <v>428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2:27" outlineLevel="1" x14ac:dyDescent="0.25">
      <c r="B54" s="351" t="s">
        <v>82</v>
      </c>
      <c r="C54" s="352"/>
      <c r="D54" s="62">
        <v>38.059028840000003</v>
      </c>
      <c r="E54" s="409">
        <v>47.088663229999987</v>
      </c>
      <c r="F54" s="409">
        <v>51.512307930000006</v>
      </c>
      <c r="G54" s="409">
        <v>55.653999999999996</v>
      </c>
      <c r="H54" s="62">
        <f>'PL накопленные данные'!J54</f>
        <v>350.60750748999999</v>
      </c>
      <c r="I54" s="409">
        <f>'PL накопленные данные'!K54-'PL накопленные данные'!J54</f>
        <v>305.26042849999999</v>
      </c>
      <c r="J54" s="409">
        <f>'PL накопленные данные'!L54-'PL накопленные данные'!K54</f>
        <v>299.13206401000002</v>
      </c>
      <c r="K54" s="409">
        <f>'PL накопленные данные'!M54-'PL накопленные данные'!L54</f>
        <v>391.46900000000005</v>
      </c>
      <c r="L54" s="57">
        <v>344</v>
      </c>
      <c r="M54" s="549">
        <f>'PL накопленные данные'!O54-'PL накопленные данные'!N54</f>
        <v>366.25884494000013</v>
      </c>
      <c r="N54" s="549">
        <f>'PL накопленные данные'!P54-'PL накопленные данные'!O54</f>
        <v>349.20261463999998</v>
      </c>
      <c r="O54" s="185">
        <f>'PL накопленные данные'!Q54-'PL накопленные данные'!P54</f>
        <v>248.53854041999989</v>
      </c>
      <c r="P54" s="185">
        <f>'PL накопленные данные'!R54</f>
        <v>293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2:27" ht="16.149999999999999" customHeight="1" outlineLevel="1" x14ac:dyDescent="0.25">
      <c r="B55" s="351" t="s">
        <v>58</v>
      </c>
      <c r="C55" s="352"/>
      <c r="D55" s="62">
        <v>4.4472809400000006</v>
      </c>
      <c r="E55" s="409">
        <v>9.1131463399999966</v>
      </c>
      <c r="F55" s="409">
        <v>27.239572719999998</v>
      </c>
      <c r="G55" s="409">
        <v>46.237000000000009</v>
      </c>
      <c r="H55" s="62">
        <f>'PL накопленные данные'!J55</f>
        <v>54.580028269999993</v>
      </c>
      <c r="I55" s="409">
        <f>'PL накопленные данные'!K55-'PL накопленные данные'!J55</f>
        <v>29.912000210000009</v>
      </c>
      <c r="J55" s="409">
        <f>'PL накопленные данные'!L55-'PL накопленные данные'!K55</f>
        <v>25.507971519999998</v>
      </c>
      <c r="K55" s="409">
        <f>'PL накопленные данные'!M55-'PL накопленные данные'!L55</f>
        <v>27.245000000000005</v>
      </c>
      <c r="L55" s="57">
        <v>14</v>
      </c>
      <c r="M55" s="549">
        <f>'PL накопленные данные'!O55-'PL накопленные данные'!N55</f>
        <v>-11</v>
      </c>
      <c r="N55" s="549">
        <f>'PL накопленные данные'!P55-'PL накопленные данные'!O55</f>
        <v>9</v>
      </c>
      <c r="O55" s="185">
        <f>'PL накопленные данные'!Q55-'PL накопленные данные'!P55</f>
        <v>2</v>
      </c>
      <c r="P55" s="185">
        <f>'PL накопленные данные'!R55</f>
        <v>3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2:27" outlineLevel="1" x14ac:dyDescent="0.25">
      <c r="B56" s="351" t="s">
        <v>47</v>
      </c>
      <c r="C56" s="352"/>
      <c r="D56" s="62">
        <v>-40.294309779999999</v>
      </c>
      <c r="E56" s="409">
        <v>-41.038809569999991</v>
      </c>
      <c r="F56" s="409">
        <v>-45.088880650000007</v>
      </c>
      <c r="G56" s="409">
        <v>60.462999999999994</v>
      </c>
      <c r="H56" s="62">
        <f>'PL накопленные данные'!J56</f>
        <v>-17.856535759999964</v>
      </c>
      <c r="I56" s="409">
        <f>'PL накопленные данные'!K56-'PL накопленные данные'!J56</f>
        <v>-7.2492767100000357</v>
      </c>
      <c r="J56" s="409">
        <f>'PL накопленные данные'!L56-'PL накопленные данные'!K56</f>
        <v>-50.894187529999996</v>
      </c>
      <c r="K56" s="409">
        <f>'PL накопленные данные'!M56-'PL накопленные данные'!L56</f>
        <v>-22.549999999999756</v>
      </c>
      <c r="L56" s="57">
        <v>-71</v>
      </c>
      <c r="M56" s="549">
        <f>'PL накопленные данные'!O56-'PL накопленные данные'!N56</f>
        <v>-41.258844940000131</v>
      </c>
      <c r="N56" s="549">
        <f>'PL накопленные данные'!P56-'PL накопленные данные'!O56</f>
        <v>61.797385360000021</v>
      </c>
      <c r="O56" s="185">
        <f>'PL накопленные данные'!Q56-'PL накопленные данные'!P56</f>
        <v>33.46145958000011</v>
      </c>
      <c r="P56" s="185">
        <f>'PL накопленные данные'!R56</f>
        <v>132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2:27" outlineLevel="1" x14ac:dyDescent="0.25">
      <c r="B57" s="377" t="s">
        <v>139</v>
      </c>
      <c r="C57" s="378"/>
      <c r="D57" s="422"/>
      <c r="E57" s="423"/>
      <c r="F57" s="423"/>
      <c r="G57" s="423"/>
      <c r="H57" s="422">
        <f>'PL накопленные данные'!J57</f>
        <v>-377.35240199999993</v>
      </c>
      <c r="I57" s="423">
        <f>'PL накопленные данные'!K57-'PL накопленные данные'!J57</f>
        <v>-1769.3915476400002</v>
      </c>
      <c r="J57" s="423">
        <f>'PL накопленные данные'!L57-'PL накопленные данные'!K57</f>
        <v>-165.25605035999979</v>
      </c>
      <c r="K57" s="423">
        <f>'PL накопленные данные'!M57-'PL накопленные данные'!L57</f>
        <v>-1082.3872154900009</v>
      </c>
      <c r="L57" s="368">
        <v>0</v>
      </c>
      <c r="M57" s="369">
        <f>'PL накопленные данные'!O57-'PL накопленные данные'!N57</f>
        <v>0</v>
      </c>
      <c r="N57" s="369">
        <f>'PL накопленные данные'!P57-'PL накопленные данные'!O57</f>
        <v>0</v>
      </c>
      <c r="O57" s="370">
        <f>'PL накопленные данные'!Q57-'PL накопленные данные'!P57</f>
        <v>0</v>
      </c>
      <c r="P57" s="370">
        <f>'PL накопленные данные'!R57</f>
        <v>0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2:27" s="243" customFormat="1" x14ac:dyDescent="0.25">
      <c r="B58" s="340"/>
      <c r="C58" s="340"/>
      <c r="D58" s="399"/>
      <c r="E58" s="399"/>
      <c r="F58" s="399"/>
      <c r="G58" s="399"/>
      <c r="H58" s="399"/>
      <c r="I58" s="399"/>
      <c r="J58" s="399"/>
      <c r="K58" s="399"/>
      <c r="L58" s="556"/>
      <c r="M58" s="556"/>
      <c r="N58" s="556"/>
      <c r="O58" s="556"/>
      <c r="P58" s="231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</row>
    <row r="59" spans="2:27" s="243" customFormat="1" x14ac:dyDescent="0.25">
      <c r="B59" s="341" t="s">
        <v>61</v>
      </c>
      <c r="C59" s="341"/>
      <c r="D59" s="266">
        <f t="shared" ref="D59:G59" si="19">D29+D30+D40+D50+D52+D53</f>
        <v>5255.3190000000004</v>
      </c>
      <c r="E59" s="266">
        <f t="shared" si="19"/>
        <v>6125.2869999999994</v>
      </c>
      <c r="F59" s="266">
        <f t="shared" si="19"/>
        <v>8759.2780000000002</v>
      </c>
      <c r="G59" s="266">
        <f t="shared" si="19"/>
        <v>8438.1579999999958</v>
      </c>
      <c r="H59" s="266">
        <f>H29+H30+H40+H50+H52+H53</f>
        <v>8970.770598000001</v>
      </c>
      <c r="I59" s="266">
        <f>I29+I30+I40+I50+I52+I53</f>
        <v>5091.0596043599999</v>
      </c>
      <c r="J59" s="266">
        <f>J29+J30+J40+J50+J52+J53</f>
        <v>7550.4897976400007</v>
      </c>
      <c r="K59" s="229">
        <f>K29+K30+K40+K50+K52+K53</f>
        <v>6734.3727845099984</v>
      </c>
      <c r="L59" s="553">
        <f t="shared" ref="L59:M59" si="20">L29+L30+L40+L50+L52+L53</f>
        <v>3080</v>
      </c>
      <c r="M59" s="553">
        <f t="shared" si="20"/>
        <v>4867</v>
      </c>
      <c r="N59" s="553">
        <f>N29+N30+N40+N50+N52+N53</f>
        <v>7980</v>
      </c>
      <c r="O59" s="553">
        <f>O29+O30+O40+O50+O52+O53</f>
        <v>5067.0000000000009</v>
      </c>
      <c r="P59" s="229">
        <f>P29+P30+P40+P50+P52+P53</f>
        <v>4247</v>
      </c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</row>
    <row r="60" spans="2:27" s="243" customFormat="1" x14ac:dyDescent="0.25">
      <c r="B60" s="342"/>
      <c r="C60" s="342"/>
      <c r="D60" s="399"/>
      <c r="E60" s="401"/>
      <c r="F60" s="399"/>
      <c r="G60" s="399"/>
      <c r="H60" s="430"/>
      <c r="I60" s="430"/>
      <c r="J60" s="430"/>
      <c r="K60" s="430"/>
      <c r="L60" s="430"/>
      <c r="M60" s="430"/>
      <c r="N60" s="430"/>
      <c r="O60" s="430"/>
      <c r="P60" s="430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</row>
    <row r="61" spans="2:27" x14ac:dyDescent="0.25">
      <c r="B61" s="384" t="s">
        <v>62</v>
      </c>
      <c r="C61" s="385"/>
      <c r="D61" s="428">
        <f>-SUM(D62:D71)</f>
        <v>-4373.8090000000002</v>
      </c>
      <c r="E61" s="429">
        <f t="shared" ref="E61:G61" si="21">-SUM(E62:E71)</f>
        <v>-4570.991</v>
      </c>
      <c r="F61" s="429">
        <f t="shared" si="21"/>
        <v>-5248.5980000000009</v>
      </c>
      <c r="G61" s="429">
        <f t="shared" si="21"/>
        <v>-5942.4859999999999</v>
      </c>
      <c r="H61" s="428">
        <f>'PL накопленные данные'!J61</f>
        <v>-5321.5475980000001</v>
      </c>
      <c r="I61" s="429">
        <f t="shared" ref="I61" si="22">-SUM(I62:I71)</f>
        <v>-4787.1976043600034</v>
      </c>
      <c r="J61" s="429">
        <f t="shared" ref="J61:K61" si="23">-SUM(J62:J71)</f>
        <v>-6268.8547976399959</v>
      </c>
      <c r="K61" s="429">
        <f t="shared" si="23"/>
        <v>-8191.1677416699986</v>
      </c>
      <c r="L61" s="391">
        <f t="shared" ref="L61:N61" si="24">-SUM(L62:L71)</f>
        <v>-4644</v>
      </c>
      <c r="M61" s="386">
        <f t="shared" si="24"/>
        <v>-5627</v>
      </c>
      <c r="N61" s="386">
        <f t="shared" si="24"/>
        <v>-6141</v>
      </c>
      <c r="O61" s="388">
        <f t="shared" ref="O61" si="25">-SUM(O62:O71)</f>
        <v>-7508</v>
      </c>
      <c r="P61" s="388">
        <f t="shared" ref="P61" si="26">-SUM(P62:P71)</f>
        <v>-6792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outlineLevel="1" x14ac:dyDescent="0.25">
      <c r="B62" s="351" t="s">
        <v>83</v>
      </c>
      <c r="C62" s="352"/>
      <c r="D62" s="62">
        <v>2163.971</v>
      </c>
      <c r="E62" s="409">
        <v>2306.3560000000002</v>
      </c>
      <c r="F62" s="409">
        <v>2871.192</v>
      </c>
      <c r="G62" s="409">
        <v>2890.1170000000002</v>
      </c>
      <c r="H62" s="62">
        <f>'PL накопленные данные'!J62</f>
        <v>2648.9157413270686</v>
      </c>
      <c r="I62" s="409">
        <f>'PL накопленные данные'!K62-'PL накопленные данные'!J62</f>
        <v>2091.4538082522113</v>
      </c>
      <c r="J62" s="409">
        <f>'PL накопленные данные'!L62-'PL накопленные данные'!K62</f>
        <v>3286.4304504207203</v>
      </c>
      <c r="K62" s="409">
        <f>'PL накопленные данные'!M62-'PL накопленные данные'!L62</f>
        <v>4525.4547286665993</v>
      </c>
      <c r="L62" s="57">
        <v>2025</v>
      </c>
      <c r="M62" s="549">
        <f>'PL накопленные данные'!O62-'PL накопленные данные'!N62</f>
        <v>2791</v>
      </c>
      <c r="N62" s="549">
        <f>'PL накопленные данные'!P62-'PL накопленные данные'!O62</f>
        <v>3367</v>
      </c>
      <c r="O62" s="185">
        <f>'PL накопленные данные'!Q62-'PL накопленные данные'!P62</f>
        <v>4183</v>
      </c>
      <c r="P62" s="185">
        <f>'PL накопленные данные'!R62</f>
        <v>3560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2:27" outlineLevel="1" x14ac:dyDescent="0.25">
      <c r="B63" s="351" t="s">
        <v>84</v>
      </c>
      <c r="C63" s="352"/>
      <c r="D63" s="62">
        <v>550.79100000000005</v>
      </c>
      <c r="E63" s="409">
        <v>510.09599999999989</v>
      </c>
      <c r="F63" s="409">
        <v>609.85900000000015</v>
      </c>
      <c r="G63" s="409">
        <v>596.63099999999986</v>
      </c>
      <c r="H63" s="62">
        <f>'PL накопленные данные'!J63</f>
        <v>703.52485667293149</v>
      </c>
      <c r="I63" s="409">
        <f>'PL накопленные данные'!K63-'PL накопленные данные'!J63</f>
        <v>544.880796107793</v>
      </c>
      <c r="J63" s="409">
        <f>'PL накопленные данные'!L63-'PL накопленные данные'!K63</f>
        <v>690.39434721927546</v>
      </c>
      <c r="K63" s="409">
        <f>'PL накопленные данные'!M63-'PL накопленные данные'!L63</f>
        <v>998.35901300340015</v>
      </c>
      <c r="L63" s="57">
        <v>616</v>
      </c>
      <c r="M63" s="549">
        <f>'PL накопленные данные'!O63-'PL накопленные данные'!N63</f>
        <v>671</v>
      </c>
      <c r="N63" s="549">
        <f>'PL накопленные данные'!P63-'PL накопленные данные'!O63</f>
        <v>705</v>
      </c>
      <c r="O63" s="185">
        <f>'PL накопленные данные'!Q63-'PL накопленные данные'!P63</f>
        <v>879</v>
      </c>
      <c r="P63" s="185">
        <f>'PL накопленные данные'!R63</f>
        <v>978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2:27" outlineLevel="1" x14ac:dyDescent="0.25">
      <c r="B64" s="351" t="s">
        <v>85</v>
      </c>
      <c r="C64" s="352"/>
      <c r="D64" s="62">
        <v>489.48500000000001</v>
      </c>
      <c r="E64" s="409">
        <v>497.01300000000003</v>
      </c>
      <c r="F64" s="409">
        <v>491.31399999999985</v>
      </c>
      <c r="G64" s="409">
        <v>523.85599999999999</v>
      </c>
      <c r="H64" s="62">
        <f>'PL накопленные данные'!J64</f>
        <v>573.24</v>
      </c>
      <c r="I64" s="409">
        <f>'PL накопленные данные'!K64-'PL накопленные данные'!J64</f>
        <v>593.65499999999997</v>
      </c>
      <c r="J64" s="409">
        <f>'PL накопленные данные'!L64-'PL накопленные данные'!K64</f>
        <v>621.10500000000002</v>
      </c>
      <c r="K64" s="409">
        <f>'PL накопленные данные'!M64-'PL накопленные данные'!L64</f>
        <v>627.04799999999977</v>
      </c>
      <c r="L64" s="57">
        <v>738</v>
      </c>
      <c r="M64" s="549">
        <f>'PL накопленные данные'!O64-'PL накопленные данные'!N64</f>
        <v>709</v>
      </c>
      <c r="N64" s="549">
        <f>'PL накопленные данные'!P64-'PL накопленные данные'!O64</f>
        <v>703</v>
      </c>
      <c r="O64" s="185">
        <f>'PL накопленные данные'!Q64-'PL накопленные данные'!P64</f>
        <v>739</v>
      </c>
      <c r="P64" s="185">
        <f>'PL накопленные данные'!R64</f>
        <v>761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outlineLevel="1" x14ac:dyDescent="0.25">
      <c r="B65" s="351" t="s">
        <v>86</v>
      </c>
      <c r="C65" s="352"/>
      <c r="D65" s="62">
        <v>350.66399999999999</v>
      </c>
      <c r="E65" s="409">
        <v>387.81399999999996</v>
      </c>
      <c r="F65" s="409">
        <v>360.81900000000007</v>
      </c>
      <c r="G65" s="409">
        <v>402.60199999999986</v>
      </c>
      <c r="H65" s="62">
        <f>'PL накопленные данные'!J65</f>
        <v>495.255</v>
      </c>
      <c r="I65" s="409">
        <f>'PL накопленные данные'!K65-'PL накопленные данные'!J65</f>
        <v>478.97699999999998</v>
      </c>
      <c r="J65" s="409">
        <f>'PL накопленные данные'!L65-'PL накопленные данные'!K65</f>
        <v>501.76800000000003</v>
      </c>
      <c r="K65" s="409">
        <f>'PL накопленные данные'!M65-'PL накопленные данные'!L65</f>
        <v>608.50399999999991</v>
      </c>
      <c r="L65" s="57">
        <v>370</v>
      </c>
      <c r="M65" s="549">
        <f>'PL накопленные данные'!O65-'PL накопленные данные'!N65</f>
        <v>373</v>
      </c>
      <c r="N65" s="549">
        <f>'PL накопленные данные'!P65-'PL накопленные данные'!O65</f>
        <v>344</v>
      </c>
      <c r="O65" s="185">
        <f>'PL накопленные данные'!Q65-'PL накопленные данные'!P65</f>
        <v>546</v>
      </c>
      <c r="P65" s="185">
        <f>'PL накопленные данные'!R65</f>
        <v>359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outlineLevel="1" x14ac:dyDescent="0.25">
      <c r="B66" s="351" t="s">
        <v>87</v>
      </c>
      <c r="C66" s="352"/>
      <c r="D66" s="62">
        <v>187.904</v>
      </c>
      <c r="E66" s="409">
        <v>261.73899999999998</v>
      </c>
      <c r="F66" s="409">
        <v>261.40400000000005</v>
      </c>
      <c r="G66" s="409">
        <v>345.49199999999996</v>
      </c>
      <c r="H66" s="62">
        <f>'PL накопленные данные'!J66</f>
        <v>286.60500000000002</v>
      </c>
      <c r="I66" s="409">
        <f>'PL накопленные данные'!K66-'PL накопленные данные'!J66</f>
        <v>331.38499999999999</v>
      </c>
      <c r="J66" s="409">
        <f>'PL накопленные данные'!L66-'PL накопленные данные'!K66</f>
        <v>317.01</v>
      </c>
      <c r="K66" s="409">
        <f>'PL накопленные данные'!M66-'PL накопленные данные'!L66</f>
        <v>344.94599999999991</v>
      </c>
      <c r="L66" s="57">
        <v>182</v>
      </c>
      <c r="M66" s="549">
        <f>'PL накопленные данные'!O66-'PL накопленные данные'!N66</f>
        <v>311</v>
      </c>
      <c r="N66" s="549">
        <f>'PL накопленные данные'!P66-'PL накопленные данные'!O66</f>
        <v>225</v>
      </c>
      <c r="O66" s="185">
        <f>'PL накопленные данные'!Q66-'PL накопленные данные'!P66</f>
        <v>310</v>
      </c>
      <c r="P66" s="185">
        <f>'PL накопленные данные'!R66</f>
        <v>175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outlineLevel="1" x14ac:dyDescent="0.25">
      <c r="B67" s="351" t="s">
        <v>88</v>
      </c>
      <c r="C67" s="352"/>
      <c r="D67" s="62">
        <v>35.884999999999998</v>
      </c>
      <c r="E67" s="409">
        <v>77.009999999999991</v>
      </c>
      <c r="F67" s="409">
        <v>109.312</v>
      </c>
      <c r="G67" s="409">
        <v>303.71500000000003</v>
      </c>
      <c r="H67" s="62">
        <f>'PL накопленные данные'!J67</f>
        <v>86.674999999999997</v>
      </c>
      <c r="I67" s="409">
        <f>'PL накопленные данные'!K67-'PL накопленные данные'!J67</f>
        <v>175.03699999999998</v>
      </c>
      <c r="J67" s="409">
        <f>'PL накопленные данные'!L67-'PL накопленные данные'!K67</f>
        <v>163.28800000000001</v>
      </c>
      <c r="K67" s="409">
        <f>'PL накопленные данные'!M67-'PL накопленные данные'!L67</f>
        <v>276.64200000000005</v>
      </c>
      <c r="L67" s="57">
        <v>101</v>
      </c>
      <c r="M67" s="549">
        <f>'PL накопленные данные'!O67-'PL накопленные данные'!N67</f>
        <v>100</v>
      </c>
      <c r="N67" s="549">
        <f>'PL накопленные данные'!P67-'PL накопленные данные'!O67</f>
        <v>80</v>
      </c>
      <c r="O67" s="185">
        <f>'PL накопленные данные'!Q67-'PL накопленные данные'!P67</f>
        <v>104</v>
      </c>
      <c r="P67" s="185">
        <f>'PL накопленные данные'!R67</f>
        <v>120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outlineLevel="1" x14ac:dyDescent="0.25">
      <c r="B68" s="351" t="s">
        <v>89</v>
      </c>
      <c r="C68" s="352"/>
      <c r="D68" s="62">
        <v>80.055999999999997</v>
      </c>
      <c r="E68" s="409">
        <v>80.471999999999994</v>
      </c>
      <c r="F68" s="409">
        <v>76.474000000000018</v>
      </c>
      <c r="G68" s="409">
        <v>140.19499999999999</v>
      </c>
      <c r="H68" s="62">
        <f>'PL накопленные данные'!J68</f>
        <v>105.28700000000001</v>
      </c>
      <c r="I68" s="409">
        <f>'PL накопленные данные'!K68-'PL накопленные данные'!J68</f>
        <v>107.82499999999999</v>
      </c>
      <c r="J68" s="409">
        <f>'PL накопленные данные'!L68-'PL накопленные данные'!K68</f>
        <v>113.88800000000001</v>
      </c>
      <c r="K68" s="409">
        <f>'PL накопленные данные'!M68-'PL накопленные данные'!L68</f>
        <v>144.72300000000001</v>
      </c>
      <c r="L68" s="57">
        <v>118</v>
      </c>
      <c r="M68" s="549">
        <f>'PL накопленные данные'!O68-'PL накопленные данные'!N68</f>
        <v>136</v>
      </c>
      <c r="N68" s="549">
        <f>'PL накопленные данные'!P68-'PL накопленные данные'!O68</f>
        <v>165</v>
      </c>
      <c r="O68" s="185">
        <f>'PL накопленные данные'!Q68-'PL накопленные данные'!P68</f>
        <v>231</v>
      </c>
      <c r="P68" s="185">
        <f>'PL накопленные данные'!R68</f>
        <v>194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outlineLevel="1" x14ac:dyDescent="0.25">
      <c r="B69" s="351" t="s">
        <v>90</v>
      </c>
      <c r="C69" s="352"/>
      <c r="D69" s="62">
        <v>89.367999999999995</v>
      </c>
      <c r="E69" s="409">
        <v>97.78</v>
      </c>
      <c r="F69" s="409">
        <v>89.320000000000022</v>
      </c>
      <c r="G69" s="409">
        <v>112.81199999999995</v>
      </c>
      <c r="H69" s="62">
        <f>'PL накопленные данные'!J69</f>
        <v>98.644000000000005</v>
      </c>
      <c r="I69" s="409">
        <f>'PL накопленные данные'!K69-'PL накопленные данные'!J69</f>
        <v>88.686999999999983</v>
      </c>
      <c r="J69" s="409">
        <f>'PL накопленные данные'!L69-'PL накопленные данные'!K69</f>
        <v>109.66900000000001</v>
      </c>
      <c r="K69" s="409">
        <f>'PL накопленные данные'!M69-'PL накопленные данные'!L69</f>
        <v>135.65100000000001</v>
      </c>
      <c r="L69" s="57">
        <v>88</v>
      </c>
      <c r="M69" s="549">
        <f>'PL накопленные данные'!O69-'PL накопленные данные'!N69</f>
        <v>139</v>
      </c>
      <c r="N69" s="549">
        <f>'PL накопленные данные'!P69-'PL накопленные данные'!O69</f>
        <v>154</v>
      </c>
      <c r="O69" s="185">
        <f>'PL накопленные данные'!Q69-'PL накопленные данные'!P69</f>
        <v>192</v>
      </c>
      <c r="P69" s="185">
        <f>'PL накопленные данные'!R69</f>
        <v>150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outlineLevel="1" x14ac:dyDescent="0.25">
      <c r="B70" s="351" t="s">
        <v>91</v>
      </c>
      <c r="C70" s="352"/>
      <c r="D70" s="62">
        <v>89.26</v>
      </c>
      <c r="E70" s="409">
        <v>97.452999999999989</v>
      </c>
      <c r="F70" s="409">
        <v>103.65200000000002</v>
      </c>
      <c r="G70" s="409">
        <v>103.33799999999997</v>
      </c>
      <c r="H70" s="62">
        <f>'PL накопленные данные'!J70</f>
        <v>101.336</v>
      </c>
      <c r="I70" s="409">
        <f>'PL накопленные данные'!K70-'PL накопленные данные'!J70</f>
        <v>95.647000000000006</v>
      </c>
      <c r="J70" s="409">
        <f>'PL накопленные данные'!L70-'PL накопленные данные'!K70</f>
        <v>97.016999999999996</v>
      </c>
      <c r="K70" s="409">
        <f>'PL накопленные данные'!M70-'PL накопленные данные'!L70</f>
        <v>94.637999999999977</v>
      </c>
      <c r="L70" s="57">
        <v>90</v>
      </c>
      <c r="M70" s="549">
        <f>'PL накопленные данные'!O70-'PL накопленные данные'!N70</f>
        <v>89</v>
      </c>
      <c r="N70" s="549">
        <f>'PL накопленные данные'!P70-'PL накопленные данные'!O70</f>
        <v>90</v>
      </c>
      <c r="O70" s="185">
        <f>'PL накопленные данные'!Q70-'PL накопленные данные'!P70</f>
        <v>88</v>
      </c>
      <c r="P70" s="185">
        <f>'PL накопленные данные'!R70</f>
        <v>82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outlineLevel="1" x14ac:dyDescent="0.25">
      <c r="B71" s="377" t="s">
        <v>92</v>
      </c>
      <c r="C71" s="378"/>
      <c r="D71" s="422">
        <v>336.42499999999995</v>
      </c>
      <c r="E71" s="423">
        <v>255.25799999999998</v>
      </c>
      <c r="F71" s="423">
        <v>275.25200000000001</v>
      </c>
      <c r="G71" s="423">
        <v>523.72800000000007</v>
      </c>
      <c r="H71" s="422">
        <f>'PL накопленные данные'!J71</f>
        <v>222.065</v>
      </c>
      <c r="I71" s="423">
        <f>'PL накопленные данные'!K71-'PL накопленные данные'!J71</f>
        <v>279.65000000000003</v>
      </c>
      <c r="J71" s="423">
        <f>'PL накопленные данные'!L71-'PL накопленные данные'!K71</f>
        <v>368.28499999999997</v>
      </c>
      <c r="K71" s="423">
        <f>'PL накопленные данные'!M71-'PL накопленные данные'!L71</f>
        <v>435.20199999999977</v>
      </c>
      <c r="L71" s="368">
        <v>316</v>
      </c>
      <c r="M71" s="369">
        <f>'PL накопленные данные'!O71-'PL накопленные данные'!N71</f>
        <v>308</v>
      </c>
      <c r="N71" s="369">
        <f>'PL накопленные данные'!P71-'PL накопленные данные'!O71</f>
        <v>308</v>
      </c>
      <c r="O71" s="370">
        <f>'PL накопленные данные'!Q71-'PL накопленные данные'!P71</f>
        <v>236</v>
      </c>
      <c r="P71" s="370">
        <f>'PL накопленные данные'!R71</f>
        <v>413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s="348" customFormat="1" outlineLevel="1" x14ac:dyDescent="0.25">
      <c r="A72" s="243"/>
      <c r="B72" s="340"/>
      <c r="C72" s="340"/>
      <c r="D72" s="399"/>
      <c r="E72" s="399"/>
      <c r="F72" s="399"/>
      <c r="G72" s="399"/>
      <c r="H72" s="399"/>
      <c r="I72" s="399"/>
      <c r="J72" s="399"/>
      <c r="K72" s="399"/>
      <c r="L72" s="556"/>
      <c r="M72" s="556"/>
      <c r="N72" s="556"/>
      <c r="O72" s="556"/>
      <c r="P72" s="231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</row>
    <row r="73" spans="1:27" s="335" customFormat="1" x14ac:dyDescent="0.25">
      <c r="B73" s="341" t="s">
        <v>63</v>
      </c>
      <c r="C73" s="341"/>
      <c r="D73" s="266">
        <f>D59+D27+D61+D51</f>
        <v>3175.3140000000012</v>
      </c>
      <c r="E73" s="402">
        <f>E59+E27+E61+E51</f>
        <v>3348.0899999999979</v>
      </c>
      <c r="F73" s="266">
        <f>F59+F27+F61+F51</f>
        <v>5668.2290000000085</v>
      </c>
      <c r="G73" s="266">
        <f>G59+G27+G61+G51</f>
        <v>2170.184999999999</v>
      </c>
      <c r="H73" s="266">
        <f t="shared" ref="H73:O73" si="27">H59+H27+H61+H51</f>
        <v>4112.0299999999934</v>
      </c>
      <c r="I73" s="266">
        <f t="shared" si="27"/>
        <v>4499.1750000000047</v>
      </c>
      <c r="J73" s="266">
        <f t="shared" si="27"/>
        <v>4758.5150000000021</v>
      </c>
      <c r="K73" s="266">
        <f t="shared" si="27"/>
        <v>-421.5459571600079</v>
      </c>
      <c r="L73" s="553">
        <f t="shared" si="27"/>
        <v>2108</v>
      </c>
      <c r="M73" s="553">
        <f t="shared" si="27"/>
        <v>3942</v>
      </c>
      <c r="N73" s="553">
        <f t="shared" si="27"/>
        <v>7326</v>
      </c>
      <c r="O73" s="553">
        <f t="shared" si="27"/>
        <v>5356</v>
      </c>
      <c r="P73" s="229">
        <f t="shared" ref="P73" si="28">P59+P27+P61+P51</f>
        <v>3685</v>
      </c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A73" s="343"/>
    </row>
    <row r="74" spans="1:27" s="335" customFormat="1" x14ac:dyDescent="0.25">
      <c r="B74" s="336"/>
      <c r="C74" s="336"/>
      <c r="D74" s="397"/>
      <c r="E74" s="403"/>
      <c r="F74" s="397"/>
      <c r="G74" s="397"/>
      <c r="H74" s="397"/>
      <c r="I74" s="397"/>
      <c r="J74" s="397"/>
      <c r="K74" s="397"/>
      <c r="L74" s="552"/>
      <c r="M74" s="552"/>
      <c r="N74" s="552"/>
      <c r="O74" s="552"/>
      <c r="P74" s="228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</row>
    <row r="75" spans="1:27" s="243" customFormat="1" x14ac:dyDescent="0.25">
      <c r="B75" s="344" t="s">
        <v>64</v>
      </c>
      <c r="C75" s="344"/>
      <c r="D75" s="404">
        <v>-309.03199999999998</v>
      </c>
      <c r="E75" s="405">
        <v>-342.32900000000001</v>
      </c>
      <c r="F75" s="404">
        <v>-514.87</v>
      </c>
      <c r="G75" s="404">
        <v>-738.39200000000005</v>
      </c>
      <c r="H75" s="404">
        <f>'PL накопленные данные'!J75</f>
        <v>-248.26300000000001</v>
      </c>
      <c r="I75" s="404">
        <f>'PL накопленные данные'!K75-'PL накопленные данные'!J75</f>
        <v>-592.86799999999994</v>
      </c>
      <c r="J75" s="404">
        <f>'PL накопленные данные'!L75-'PL накопленные данные'!K75</f>
        <v>-667.86900000000003</v>
      </c>
      <c r="K75" s="404">
        <f>'PL накопленные данные'!M75-'PL накопленные данные'!L75</f>
        <v>931.29300000000001</v>
      </c>
      <c r="L75" s="551">
        <v>-1136</v>
      </c>
      <c r="M75" s="551">
        <f>'PL накопленные данные'!O75-'PL накопленные данные'!N75</f>
        <v>-1447</v>
      </c>
      <c r="N75" s="551">
        <f>'PL накопленные данные'!P75-'PL накопленные данные'!O75</f>
        <v>-1327</v>
      </c>
      <c r="O75" s="551">
        <f>'PL накопленные данные'!Q75-'PL накопленные данные'!P75</f>
        <v>-385</v>
      </c>
      <c r="P75" s="227">
        <f>'PL накопленные данные'!R75</f>
        <v>-1178</v>
      </c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</row>
    <row r="76" spans="1:27" s="243" customFormat="1" x14ac:dyDescent="0.25">
      <c r="B76" s="342"/>
      <c r="C76" s="342"/>
      <c r="D76" s="399"/>
      <c r="E76" s="401"/>
      <c r="F76" s="399"/>
      <c r="G76" s="399"/>
      <c r="H76" s="399"/>
      <c r="I76" s="399"/>
      <c r="J76" s="399"/>
      <c r="K76" s="399"/>
      <c r="L76" s="556"/>
      <c r="M76" s="556"/>
      <c r="N76" s="556"/>
      <c r="O76" s="556"/>
      <c r="P76" s="231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3"/>
    </row>
    <row r="77" spans="1:27" s="335" customFormat="1" x14ac:dyDescent="0.25">
      <c r="B77" s="341" t="s">
        <v>65</v>
      </c>
      <c r="C77" s="341"/>
      <c r="D77" s="406">
        <f t="shared" ref="D77:J77" si="29">D73+D75</f>
        <v>2866.2820000000011</v>
      </c>
      <c r="E77" s="407">
        <f t="shared" si="29"/>
        <v>3005.7609999999977</v>
      </c>
      <c r="F77" s="406">
        <f t="shared" si="29"/>
        <v>5153.3590000000086</v>
      </c>
      <c r="G77" s="406">
        <f t="shared" si="29"/>
        <v>1431.792999999999</v>
      </c>
      <c r="H77" s="406">
        <f t="shared" si="29"/>
        <v>3863.7669999999935</v>
      </c>
      <c r="I77" s="406">
        <f t="shared" si="29"/>
        <v>3906.3070000000048</v>
      </c>
      <c r="J77" s="406">
        <f t="shared" si="29"/>
        <v>4090.646000000002</v>
      </c>
      <c r="K77" s="406">
        <f t="shared" ref="K77:O77" si="30">K73+K75</f>
        <v>509.7470428399921</v>
      </c>
      <c r="L77" s="553">
        <f t="shared" si="30"/>
        <v>972</v>
      </c>
      <c r="M77" s="553">
        <f t="shared" si="30"/>
        <v>2495</v>
      </c>
      <c r="N77" s="553">
        <f t="shared" si="30"/>
        <v>5999</v>
      </c>
      <c r="O77" s="553">
        <f t="shared" si="30"/>
        <v>4971</v>
      </c>
      <c r="P77" s="229">
        <f t="shared" ref="P77" si="31">P73+P75</f>
        <v>2507</v>
      </c>
      <c r="Q77" s="343"/>
      <c r="R77" s="343"/>
      <c r="S77" s="343"/>
      <c r="T77" s="343"/>
      <c r="U77" s="343"/>
      <c r="V77" s="343"/>
      <c r="W77" s="343"/>
      <c r="X77" s="343"/>
      <c r="Y77" s="343"/>
      <c r="Z77" s="343"/>
      <c r="AA77" s="343"/>
    </row>
    <row r="78" spans="1:27" s="243" customFormat="1" x14ac:dyDescent="0.25">
      <c r="B78" s="342"/>
      <c r="C78" s="342"/>
      <c r="D78" s="399"/>
      <c r="E78" s="408"/>
      <c r="F78" s="399"/>
      <c r="G78" s="399"/>
      <c r="H78" s="399"/>
      <c r="I78" s="399"/>
      <c r="J78" s="399"/>
      <c r="K78" s="399"/>
      <c r="L78" s="557"/>
      <c r="M78" s="557"/>
      <c r="N78" s="557"/>
      <c r="O78" s="557"/>
      <c r="P78" s="232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</row>
    <row r="79" spans="1:27" s="243" customFormat="1" x14ac:dyDescent="0.25">
      <c r="B79" s="341" t="s">
        <v>171</v>
      </c>
      <c r="C79" s="341"/>
      <c r="D79" s="266"/>
      <c r="E79" s="402"/>
      <c r="F79" s="266"/>
      <c r="G79" s="266"/>
      <c r="H79" s="266"/>
      <c r="I79" s="266"/>
      <c r="J79" s="266"/>
      <c r="K79" s="266"/>
      <c r="L79" s="553"/>
      <c r="M79" s="553"/>
      <c r="N79" s="553"/>
      <c r="O79" s="553"/>
      <c r="P79" s="229"/>
      <c r="Q79" s="343"/>
      <c r="R79" s="343"/>
      <c r="S79" s="343"/>
      <c r="T79" s="343"/>
      <c r="U79" s="343"/>
      <c r="V79" s="343"/>
      <c r="W79" s="343"/>
      <c r="X79" s="343"/>
      <c r="Y79" s="343"/>
      <c r="Z79" s="343"/>
      <c r="AA79" s="343"/>
    </row>
    <row r="80" spans="1:27" s="243" customFormat="1" x14ac:dyDescent="0.25">
      <c r="B80" s="105" t="s">
        <v>169</v>
      </c>
      <c r="C80" s="111"/>
      <c r="D80" s="141">
        <f>D77</f>
        <v>2866.2820000000011</v>
      </c>
      <c r="E80" s="106">
        <f t="shared" ref="E80:M80" si="32">E77</f>
        <v>3005.7609999999977</v>
      </c>
      <c r="F80" s="106">
        <f t="shared" si="32"/>
        <v>5153.3590000000086</v>
      </c>
      <c r="G80" s="106">
        <f t="shared" si="32"/>
        <v>1431.792999999999</v>
      </c>
      <c r="H80" s="141">
        <f t="shared" si="32"/>
        <v>3863.7669999999935</v>
      </c>
      <c r="I80" s="106">
        <f>I77-I81</f>
        <v>3906.3070000000048</v>
      </c>
      <c r="J80" s="106">
        <f>J77-J81</f>
        <v>4090.646000000002</v>
      </c>
      <c r="K80" s="106">
        <f t="shared" si="32"/>
        <v>509.7470428399921</v>
      </c>
      <c r="L80" s="141">
        <f t="shared" si="32"/>
        <v>972</v>
      </c>
      <c r="M80" s="106">
        <f t="shared" si="32"/>
        <v>2495</v>
      </c>
      <c r="N80" s="106">
        <f>N77-N81</f>
        <v>5993</v>
      </c>
      <c r="O80" s="265">
        <f>O77-O81</f>
        <v>4971</v>
      </c>
      <c r="P80" s="265">
        <f>P77-P81</f>
        <v>2506</v>
      </c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A80" s="343"/>
    </row>
    <row r="81" spans="2:27" s="243" customFormat="1" x14ac:dyDescent="0.25">
      <c r="B81" s="108" t="s">
        <v>170</v>
      </c>
      <c r="C81" s="112"/>
      <c r="D81" s="537">
        <v>0</v>
      </c>
      <c r="E81" s="538">
        <v>0</v>
      </c>
      <c r="F81" s="538">
        <v>0</v>
      </c>
      <c r="G81" s="538">
        <v>0</v>
      </c>
      <c r="H81" s="537">
        <v>0</v>
      </c>
      <c r="I81" s="538">
        <f>'PL накопленные данные'!K81-'PL накопленные данные'!J81</f>
        <v>0</v>
      </c>
      <c r="J81" s="538">
        <f>'PL накопленные данные'!L81-'PL накопленные данные'!K81</f>
        <v>0</v>
      </c>
      <c r="K81" s="538">
        <v>0</v>
      </c>
      <c r="L81" s="537">
        <v>0</v>
      </c>
      <c r="M81" s="538">
        <v>0</v>
      </c>
      <c r="N81" s="538">
        <f>'PL накопленные данные'!P81-'PL накопленные данные'!O81</f>
        <v>6</v>
      </c>
      <c r="O81" s="538">
        <f>'PL накопленные данные'!Q81-'PL накопленные данные'!P81</f>
        <v>0</v>
      </c>
      <c r="P81" s="538">
        <f>'PL накопленные данные'!R81</f>
        <v>1</v>
      </c>
      <c r="Q81" s="343"/>
      <c r="R81" s="343"/>
      <c r="S81" s="343"/>
      <c r="T81" s="343"/>
      <c r="U81" s="343"/>
      <c r="V81" s="343"/>
      <c r="W81" s="343"/>
      <c r="X81" s="343"/>
      <c r="Y81" s="343"/>
      <c r="Z81" s="343"/>
      <c r="AA81" s="343"/>
    </row>
    <row r="82" spans="2:27" s="348" customFormat="1" x14ac:dyDescent="0.25">
      <c r="B82" s="410"/>
      <c r="C82" s="347"/>
      <c r="D82" s="411"/>
      <c r="E82" s="412"/>
      <c r="F82" s="411"/>
      <c r="G82" s="411"/>
      <c r="H82" s="411"/>
      <c r="I82" s="411"/>
      <c r="J82" s="411"/>
      <c r="K82" s="411"/>
      <c r="L82" s="557"/>
      <c r="M82" s="557"/>
      <c r="N82" s="557"/>
      <c r="O82"/>
      <c r="P82"/>
    </row>
    <row r="83" spans="2:27" s="243" customFormat="1" x14ac:dyDescent="0.25">
      <c r="B83" s="341" t="s">
        <v>165</v>
      </c>
      <c r="C83" s="341"/>
      <c r="D83" s="266">
        <f t="shared" ref="D83:O83" si="33">D18+D59</f>
        <v>13538.674000000003</v>
      </c>
      <c r="E83" s="266">
        <f t="shared" si="33"/>
        <v>15405.258999999998</v>
      </c>
      <c r="F83" s="266">
        <f t="shared" si="33"/>
        <v>17545.563000000009</v>
      </c>
      <c r="G83" s="266">
        <f t="shared" si="33"/>
        <v>17971.239999999998</v>
      </c>
      <c r="H83" s="266">
        <f t="shared" si="33"/>
        <v>18622.687597999997</v>
      </c>
      <c r="I83" s="266">
        <f t="shared" si="33"/>
        <v>16265.202604360005</v>
      </c>
      <c r="J83" s="266">
        <f t="shared" si="33"/>
        <v>18819.429797639998</v>
      </c>
      <c r="K83" s="266">
        <f t="shared" si="33"/>
        <v>16198.856784509993</v>
      </c>
      <c r="L83" s="553">
        <f t="shared" si="33"/>
        <v>11747</v>
      </c>
      <c r="M83" s="553">
        <f t="shared" si="33"/>
        <v>15548</v>
      </c>
      <c r="N83" s="553">
        <f t="shared" si="33"/>
        <v>20011</v>
      </c>
      <c r="O83" s="553">
        <f t="shared" si="33"/>
        <v>19689</v>
      </c>
      <c r="P83" s="229">
        <f t="shared" ref="P83" si="34">P18+P59</f>
        <v>18540</v>
      </c>
      <c r="Q83" s="343"/>
      <c r="R83" s="343"/>
      <c r="S83" s="343"/>
      <c r="T83" s="343"/>
      <c r="U83" s="343"/>
      <c r="V83" s="343"/>
      <c r="W83" s="343"/>
      <c r="X83" s="343"/>
      <c r="Y83" s="343"/>
      <c r="Z83" s="343"/>
      <c r="AA83" s="343"/>
    </row>
    <row r="84" spans="2:27" s="243" customFormat="1" x14ac:dyDescent="0.25">
      <c r="B84" s="342"/>
      <c r="C84" s="342"/>
      <c r="D84" s="399"/>
      <c r="E84" s="401"/>
      <c r="F84" s="399"/>
      <c r="G84" s="399"/>
      <c r="H84" s="399"/>
      <c r="I84" s="399"/>
      <c r="J84" s="399"/>
      <c r="K84" s="399"/>
      <c r="L84" s="556"/>
      <c r="M84" s="556"/>
      <c r="N84" s="556"/>
      <c r="O84" s="556"/>
      <c r="P84" s="231"/>
    </row>
    <row r="85" spans="2:27" s="243" customFormat="1" x14ac:dyDescent="0.25">
      <c r="B85" s="341" t="s">
        <v>130</v>
      </c>
      <c r="C85" s="341"/>
      <c r="D85" s="266">
        <v>95</v>
      </c>
      <c r="E85" s="266">
        <v>92</v>
      </c>
      <c r="F85" s="266">
        <v>172</v>
      </c>
      <c r="G85" s="266">
        <v>40</v>
      </c>
      <c r="H85" s="266">
        <v>129</v>
      </c>
      <c r="I85" s="266">
        <v>113</v>
      </c>
      <c r="J85" s="266">
        <v>108</v>
      </c>
      <c r="K85" s="266">
        <v>14.863320212681794</v>
      </c>
      <c r="L85" s="558">
        <v>21</v>
      </c>
      <c r="M85" s="558">
        <v>46</v>
      </c>
      <c r="N85" s="558">
        <v>155</v>
      </c>
      <c r="O85" s="558">
        <v>87</v>
      </c>
      <c r="P85" s="396">
        <f>'PL накопленные данные'!R85</f>
        <v>55</v>
      </c>
    </row>
    <row r="86" spans="2:27" x14ac:dyDescent="0.25">
      <c r="E86" s="143"/>
      <c r="F86" s="143"/>
      <c r="H86" s="143"/>
      <c r="I86" s="143"/>
      <c r="J86" s="143"/>
      <c r="K86" s="16"/>
      <c r="M86" s="143"/>
      <c r="N86" s="143"/>
      <c r="Q86" s="243"/>
    </row>
    <row r="87" spans="2:27" x14ac:dyDescent="0.25">
      <c r="B87" s="105" t="s">
        <v>132</v>
      </c>
      <c r="C87" s="111"/>
      <c r="D87" s="141">
        <v>30029.062999999998</v>
      </c>
      <c r="E87" s="188">
        <v>30029.062999999998</v>
      </c>
      <c r="F87" s="188">
        <v>30029.062999999998</v>
      </c>
      <c r="G87" s="106">
        <v>30029.062999999998</v>
      </c>
      <c r="H87" s="141">
        <v>30029.062999999998</v>
      </c>
      <c r="I87" s="188">
        <v>34629.063000000002</v>
      </c>
      <c r="J87" s="188">
        <v>34629.063000000002</v>
      </c>
      <c r="K87" s="106">
        <v>34629.063000000002</v>
      </c>
      <c r="L87" s="141">
        <v>34629.063000000002</v>
      </c>
      <c r="M87" s="188">
        <f>L87</f>
        <v>34629.063000000002</v>
      </c>
      <c r="N87" s="188">
        <v>37526.637000000002</v>
      </c>
      <c r="O87" s="265">
        <v>37526.637000000002</v>
      </c>
      <c r="P87" s="141">
        <f>'PL накопленные данные'!R87</f>
        <v>37526.637000000002</v>
      </c>
      <c r="Q87" s="585"/>
    </row>
    <row r="88" spans="2:27" x14ac:dyDescent="0.25">
      <c r="B88" s="108" t="s">
        <v>157</v>
      </c>
      <c r="C88" s="112"/>
      <c r="D88" s="142">
        <v>0.6</v>
      </c>
      <c r="E88" s="109">
        <v>0.6</v>
      </c>
      <c r="F88" s="109">
        <v>0.6</v>
      </c>
      <c r="G88" s="109">
        <v>0.6</v>
      </c>
      <c r="H88" s="142">
        <v>0.6</v>
      </c>
      <c r="I88" s="109">
        <v>0.6</v>
      </c>
      <c r="J88" s="109">
        <v>0.6</v>
      </c>
      <c r="K88" s="109">
        <v>0.6</v>
      </c>
      <c r="L88" s="142">
        <v>0.6</v>
      </c>
      <c r="M88" s="109">
        <f>L88</f>
        <v>0.6</v>
      </c>
      <c r="N88" s="109">
        <v>0.6</v>
      </c>
      <c r="O88" s="109">
        <v>0.6</v>
      </c>
      <c r="P88" s="142">
        <f>O88</f>
        <v>0.6</v>
      </c>
      <c r="Q88" s="586"/>
    </row>
    <row r="89" spans="2:27" x14ac:dyDescent="0.25">
      <c r="B89"/>
      <c r="C89"/>
      <c r="D89"/>
      <c r="E89"/>
      <c r="F89"/>
      <c r="G89"/>
      <c r="H89"/>
      <c r="I89"/>
      <c r="J89"/>
      <c r="K89"/>
      <c r="Q89" s="243"/>
    </row>
    <row r="90" spans="2:27" x14ac:dyDescent="0.25">
      <c r="B90"/>
      <c r="C90"/>
      <c r="D90"/>
      <c r="E90"/>
      <c r="F90"/>
      <c r="G90"/>
      <c r="H90"/>
      <c r="I90"/>
      <c r="J90"/>
      <c r="K90"/>
    </row>
    <row r="91" spans="2:27" x14ac:dyDescent="0.25">
      <c r="B91"/>
      <c r="C91"/>
      <c r="D91"/>
      <c r="E91"/>
      <c r="F91"/>
      <c r="G91"/>
      <c r="H91"/>
      <c r="I91"/>
      <c r="J91"/>
      <c r="K91"/>
    </row>
    <row r="92" spans="2:27" x14ac:dyDescent="0.25">
      <c r="B92"/>
      <c r="C92"/>
      <c r="D92"/>
      <c r="E92"/>
      <c r="F92"/>
      <c r="G92"/>
      <c r="H92"/>
      <c r="I92"/>
      <c r="J92"/>
      <c r="K92"/>
    </row>
    <row r="93" spans="2:27" x14ac:dyDescent="0.25">
      <c r="B93"/>
      <c r="C93"/>
      <c r="D93"/>
      <c r="E93"/>
      <c r="F93"/>
      <c r="G93"/>
      <c r="H93"/>
      <c r="I93"/>
      <c r="J93"/>
      <c r="K93"/>
      <c r="N93" s="13"/>
      <c r="O93" s="13"/>
      <c r="P93" s="234"/>
    </row>
    <row r="94" spans="2:27" x14ac:dyDescent="0.25">
      <c r="B94"/>
      <c r="C94"/>
      <c r="D94"/>
      <c r="E94"/>
      <c r="F94"/>
      <c r="G94"/>
      <c r="H94"/>
      <c r="I94"/>
      <c r="J94"/>
      <c r="K94"/>
      <c r="N94" s="18"/>
      <c r="O94" s="18"/>
      <c r="P94" s="18"/>
    </row>
    <row r="95" spans="2:27" x14ac:dyDescent="0.25">
      <c r="N95" s="12"/>
      <c r="O95" s="12"/>
      <c r="P95" s="235"/>
    </row>
    <row r="96" spans="2:27" x14ac:dyDescent="0.25">
      <c r="N96" s="18"/>
      <c r="O96" s="18"/>
      <c r="P96" s="18"/>
    </row>
    <row r="97" spans="14:16" x14ac:dyDescent="0.25">
      <c r="N97" s="18"/>
      <c r="O97" s="18"/>
      <c r="P97" s="18"/>
    </row>
    <row r="102" spans="14:16" x14ac:dyDescent="0.25">
      <c r="N102" s="13"/>
      <c r="O102" s="13"/>
      <c r="P102" s="234"/>
    </row>
    <row r="103" spans="14:16" x14ac:dyDescent="0.25">
      <c r="N103" s="18"/>
      <c r="O103" s="18"/>
      <c r="P103" s="18"/>
    </row>
    <row r="104" spans="14:16" x14ac:dyDescent="0.25">
      <c r="N104" s="18"/>
      <c r="O104" s="18"/>
      <c r="P104" s="18"/>
    </row>
    <row r="105" spans="14:16" x14ac:dyDescent="0.25">
      <c r="N105" s="18"/>
      <c r="O105" s="18"/>
      <c r="P105" s="18"/>
    </row>
    <row r="106" spans="14:16" x14ac:dyDescent="0.25">
      <c r="N106" s="18"/>
      <c r="O106" s="18"/>
      <c r="P106" s="18"/>
    </row>
    <row r="113" spans="12:16" x14ac:dyDescent="0.25">
      <c r="N113" s="13"/>
      <c r="O113" s="13"/>
      <c r="P113" s="234"/>
    </row>
    <row r="114" spans="12:16" x14ac:dyDescent="0.25">
      <c r="N114" s="18"/>
      <c r="O114" s="18"/>
      <c r="P114" s="18"/>
    </row>
    <row r="115" spans="12:16" x14ac:dyDescent="0.25">
      <c r="N115" s="18"/>
      <c r="O115" s="18"/>
      <c r="P115" s="18"/>
    </row>
    <row r="116" spans="12:16" x14ac:dyDescent="0.25">
      <c r="N116" s="18"/>
      <c r="O116" s="18"/>
      <c r="P116" s="18"/>
    </row>
    <row r="117" spans="12:16" x14ac:dyDescent="0.25">
      <c r="N117" s="18"/>
      <c r="O117" s="18"/>
      <c r="P117" s="18"/>
    </row>
    <row r="128" spans="12:16" x14ac:dyDescent="0.25">
      <c r="L128" s="7"/>
      <c r="M128" s="7"/>
      <c r="N128" s="155"/>
      <c r="O128" s="155"/>
      <c r="P128" s="155"/>
    </row>
    <row r="129" spans="12:16" x14ac:dyDescent="0.25">
      <c r="L129" s="7"/>
      <c r="M129" s="7"/>
      <c r="N129" s="155"/>
      <c r="O129" s="155"/>
      <c r="P129" s="155"/>
    </row>
    <row r="130" spans="12:16" x14ac:dyDescent="0.25">
      <c r="L130" s="7"/>
      <c r="M130" s="7"/>
      <c r="N130" s="155"/>
      <c r="O130" s="155"/>
      <c r="P130" s="155"/>
    </row>
    <row r="131" spans="12:16" x14ac:dyDescent="0.25">
      <c r="L131" s="7"/>
      <c r="M131" s="7"/>
      <c r="N131" s="155"/>
      <c r="O131" s="155"/>
      <c r="P131" s="155"/>
    </row>
    <row r="132" spans="12:16" x14ac:dyDescent="0.25">
      <c r="L132" s="7"/>
      <c r="M132" s="7"/>
      <c r="N132" s="155"/>
      <c r="O132" s="155"/>
      <c r="P132" s="155"/>
    </row>
    <row r="133" spans="12:16" x14ac:dyDescent="0.25">
      <c r="L133" s="7"/>
      <c r="M133" s="7"/>
      <c r="N133" s="155"/>
      <c r="O133" s="155"/>
      <c r="P133" s="155"/>
    </row>
    <row r="134" spans="12:16" x14ac:dyDescent="0.25">
      <c r="L134" s="7"/>
      <c r="M134" s="7"/>
      <c r="N134" s="155"/>
      <c r="O134" s="155"/>
      <c r="P134" s="155"/>
    </row>
    <row r="135" spans="12:16" x14ac:dyDescent="0.25">
      <c r="L135" s="7"/>
      <c r="M135" s="7"/>
      <c r="N135" s="155"/>
      <c r="O135" s="155"/>
      <c r="P135" s="155"/>
    </row>
    <row r="136" spans="12:16" x14ac:dyDescent="0.25">
      <c r="L136" s="7"/>
      <c r="M136" s="7"/>
      <c r="N136" s="155"/>
      <c r="O136" s="155"/>
      <c r="P136" s="155"/>
    </row>
  </sheetData>
  <mergeCells count="3">
    <mergeCell ref="D2:G2"/>
    <mergeCell ref="H2:K2"/>
    <mergeCell ref="L2:O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F2D0-9622-9A4A-89CE-FBED81591F1E}">
  <sheetPr>
    <tabColor theme="9" tint="0.59999389629810485"/>
  </sheetPr>
  <dimension ref="A1:R53"/>
  <sheetViews>
    <sheetView showGridLines="0" zoomScale="80" zoomScaleNormal="80" workbookViewId="0">
      <pane xSplit="1" ySplit="3" topLeftCell="B4" activePane="bottomRight" state="frozen"/>
      <selection activeCell="L1" sqref="L1:O1048576"/>
      <selection pane="topRight" activeCell="L1" sqref="L1:O1048576"/>
      <selection pane="bottomLeft" activeCell="L1" sqref="L1:O1048576"/>
      <selection pane="bottomRight" activeCell="B26" sqref="B26"/>
    </sheetView>
  </sheetViews>
  <sheetFormatPr defaultColWidth="11" defaultRowHeight="15.75" x14ac:dyDescent="0.25"/>
  <cols>
    <col min="1" max="1" width="3.5" customWidth="1"/>
    <col min="2" max="2" width="64.75" customWidth="1"/>
    <col min="3" max="4" width="13" customWidth="1"/>
    <col min="5" max="5" width="13.375" customWidth="1"/>
    <col min="6" max="7" width="12.25" bestFit="1" customWidth="1"/>
    <col min="8" max="8" width="10.75" customWidth="1"/>
    <col min="9" max="10" width="12.25" bestFit="1" customWidth="1"/>
    <col min="11" max="11" width="11.625" customWidth="1"/>
    <col min="12" max="12" width="12.25" bestFit="1" customWidth="1"/>
    <col min="13" max="13" width="13.375" bestFit="1" customWidth="1"/>
    <col min="14" max="14" width="11.625" customWidth="1"/>
    <col min="15" max="15" width="13.375" bestFit="1" customWidth="1"/>
    <col min="16" max="17" width="11.75" customWidth="1"/>
    <col min="18" max="18" width="18.875" customWidth="1"/>
  </cols>
  <sheetData>
    <row r="1" spans="1:17" x14ac:dyDescent="0.25">
      <c r="A1" s="182"/>
      <c r="B1" s="50"/>
      <c r="C1" s="68"/>
      <c r="D1" s="69"/>
      <c r="E1" s="59"/>
      <c r="F1" s="60"/>
      <c r="G1" s="60"/>
      <c r="H1" s="61"/>
      <c r="I1" s="62"/>
      <c r="J1" s="63"/>
      <c r="K1" s="63"/>
      <c r="L1" s="41"/>
      <c r="M1" s="196"/>
      <c r="N1" s="236"/>
      <c r="O1" s="197"/>
      <c r="P1" s="198"/>
      <c r="Q1" s="198"/>
    </row>
    <row r="2" spans="1:17" x14ac:dyDescent="0.25">
      <c r="A2" s="182"/>
      <c r="B2" s="183"/>
      <c r="C2" s="70">
        <v>2021</v>
      </c>
      <c r="D2" s="164">
        <v>2022</v>
      </c>
      <c r="E2" s="611">
        <v>2023</v>
      </c>
      <c r="F2" s="612"/>
      <c r="G2" s="612"/>
      <c r="H2" s="613"/>
      <c r="I2" s="603">
        <v>2024</v>
      </c>
      <c r="J2" s="600"/>
      <c r="K2" s="600"/>
      <c r="L2" s="610"/>
      <c r="M2" s="603">
        <v>2025</v>
      </c>
      <c r="N2" s="600"/>
      <c r="O2" s="600"/>
      <c r="P2" s="604"/>
      <c r="Q2" s="44">
        <v>2026</v>
      </c>
    </row>
    <row r="3" spans="1:17" x14ac:dyDescent="0.25">
      <c r="A3" s="139" t="s">
        <v>131</v>
      </c>
      <c r="B3" s="74"/>
      <c r="C3" s="75"/>
      <c r="D3" s="499"/>
      <c r="E3" s="71" t="s">
        <v>1</v>
      </c>
      <c r="F3" s="72" t="s">
        <v>93</v>
      </c>
      <c r="G3" s="72" t="s">
        <v>94</v>
      </c>
      <c r="H3" s="73" t="s">
        <v>95</v>
      </c>
      <c r="I3" s="71" t="s">
        <v>1</v>
      </c>
      <c r="J3" s="72" t="s">
        <v>93</v>
      </c>
      <c r="K3" s="72" t="s">
        <v>94</v>
      </c>
      <c r="L3" s="43" t="s">
        <v>95</v>
      </c>
      <c r="M3" s="199" t="s">
        <v>154</v>
      </c>
      <c r="N3" s="72" t="s">
        <v>93</v>
      </c>
      <c r="O3" s="43" t="s">
        <v>94</v>
      </c>
      <c r="P3" s="56" t="s">
        <v>95</v>
      </c>
      <c r="Q3" s="56" t="s">
        <v>154</v>
      </c>
    </row>
    <row r="4" spans="1:17" x14ac:dyDescent="0.25">
      <c r="B4" s="8"/>
      <c r="C4" s="8"/>
      <c r="D4" s="500"/>
      <c r="E4" s="501"/>
      <c r="F4" s="501"/>
      <c r="G4" s="501"/>
      <c r="H4" s="501"/>
      <c r="I4" s="501"/>
      <c r="J4" s="501"/>
      <c r="K4" s="501"/>
      <c r="L4" s="502"/>
      <c r="M4" s="559"/>
      <c r="N4" s="559"/>
      <c r="O4" s="560"/>
      <c r="P4" s="560"/>
      <c r="Q4" s="502"/>
    </row>
    <row r="5" spans="1:17" x14ac:dyDescent="0.25">
      <c r="B5" s="433" t="s">
        <v>159</v>
      </c>
      <c r="C5" s="438" t="s">
        <v>150</v>
      </c>
      <c r="D5" s="439" t="s">
        <v>150</v>
      </c>
      <c r="E5" s="440">
        <v>0.17422499597882912</v>
      </c>
      <c r="F5" s="439">
        <v>0.17512118968909141</v>
      </c>
      <c r="G5" s="439">
        <v>0.28427106458257562</v>
      </c>
      <c r="H5" s="439">
        <v>7.5683920879311098E-2</v>
      </c>
      <c r="I5" s="440">
        <v>0.19767043239085927</v>
      </c>
      <c r="J5" s="439">
        <v>0.17313570247006357</v>
      </c>
      <c r="K5" s="439">
        <v>0.16027596794709981</v>
      </c>
      <c r="L5" s="439">
        <v>1.89998938846535E-2</v>
      </c>
      <c r="M5" s="440">
        <v>3.4457013957829137E-2</v>
      </c>
      <c r="N5" s="439">
        <v>8.8213586483345041E-2</v>
      </c>
      <c r="O5" s="439">
        <v>0.20396090097747557</v>
      </c>
      <c r="P5" s="441">
        <v>0.15996331559449251</v>
      </c>
      <c r="Q5" s="441">
        <f>'PL по кварталам'!P77/AVERAGE(' BS'!O71,' BS'!P71)*4</f>
        <v>7.8919927124199721E-2</v>
      </c>
    </row>
    <row r="6" spans="1:17" x14ac:dyDescent="0.25">
      <c r="B6" s="40" t="s">
        <v>160</v>
      </c>
      <c r="C6" s="442">
        <v>0.12507590185228479</v>
      </c>
      <c r="D6" s="245">
        <v>5.7217202683030377E-2</v>
      </c>
      <c r="E6" s="443">
        <v>0.17422499597882912</v>
      </c>
      <c r="F6" s="245">
        <v>0.17479231234892614</v>
      </c>
      <c r="G6" s="245">
        <v>0.21104500434595802</v>
      </c>
      <c r="H6" s="245">
        <v>0.17717118513185257</v>
      </c>
      <c r="I6" s="443">
        <v>0.19767043239085924</v>
      </c>
      <c r="J6" s="245">
        <v>0.17588395492099337</v>
      </c>
      <c r="K6" s="245">
        <v>0.17577272641613448</v>
      </c>
      <c r="L6" s="245">
        <v>0.13109319285138732</v>
      </c>
      <c r="M6" s="443">
        <v>3.4457013957829137E-2</v>
      </c>
      <c r="N6" s="561">
        <v>6.1507759925969997E-2</v>
      </c>
      <c r="O6" s="561">
        <v>0.10755130695701158</v>
      </c>
      <c r="P6" s="444">
        <v>0.12092581784470893</v>
      </c>
      <c r="Q6" s="444">
        <f>'PL накопленные данные'!R77/AVERAGE(' BS'!O71,' BS'!P71)*4</f>
        <v>7.8919927124199721E-2</v>
      </c>
    </row>
    <row r="7" spans="1:17" x14ac:dyDescent="0.25">
      <c r="B7" s="434"/>
      <c r="C7" s="445"/>
      <c r="D7" s="446"/>
      <c r="E7" s="447"/>
      <c r="F7" s="235"/>
      <c r="G7" s="235"/>
      <c r="H7" s="235"/>
      <c r="I7" s="447"/>
      <c r="J7" s="235"/>
      <c r="K7" s="235"/>
      <c r="L7" s="235"/>
      <c r="M7" s="447"/>
      <c r="N7" s="12"/>
      <c r="O7" s="12"/>
      <c r="P7" s="448"/>
      <c r="Q7" s="448"/>
    </row>
    <row r="8" spans="1:17" x14ac:dyDescent="0.25">
      <c r="B8" s="435" t="s">
        <v>166</v>
      </c>
      <c r="C8" s="449" t="s">
        <v>150</v>
      </c>
      <c r="D8" s="449" t="s">
        <v>150</v>
      </c>
      <c r="E8" s="98">
        <v>0.1885487104187609</v>
      </c>
      <c r="F8" s="244">
        <v>0.18887284035167151</v>
      </c>
      <c r="G8" s="244">
        <v>0.30532058044966076</v>
      </c>
      <c r="H8" s="244">
        <v>8.1040838048008365E-2</v>
      </c>
      <c r="I8" s="98">
        <v>0.21117504961015324</v>
      </c>
      <c r="J8" s="244">
        <v>0.18997609737975771</v>
      </c>
      <c r="K8" s="244">
        <v>0.17964004703503389</v>
      </c>
      <c r="L8" s="244">
        <v>2.2131495741005515E-2</v>
      </c>
      <c r="M8" s="98">
        <v>4.1655844236198801E-2</v>
      </c>
      <c r="N8" s="562">
        <v>0.10658464561673314</v>
      </c>
      <c r="O8" s="562">
        <v>0.2444829342842588</v>
      </c>
      <c r="P8" s="190">
        <v>0.1897264881420945</v>
      </c>
      <c r="Q8" s="190">
        <f>'PL по кварталам'!P77/AVERAGE(' BS'!O71-' BS'!O65,' BS'!P71-' BS'!P65)*4</f>
        <v>9.3226917552561003E-2</v>
      </c>
    </row>
    <row r="9" spans="1:17" x14ac:dyDescent="0.25">
      <c r="B9" s="435" t="s">
        <v>167</v>
      </c>
      <c r="C9" s="450">
        <v>0.14199999999999999</v>
      </c>
      <c r="D9" s="190">
        <v>6.2526275227677813E-2</v>
      </c>
      <c r="E9" s="98">
        <v>0.18854871041876087</v>
      </c>
      <c r="F9" s="244">
        <v>0.18884253659788963</v>
      </c>
      <c r="G9" s="244">
        <v>0.22736244002007455</v>
      </c>
      <c r="H9" s="244">
        <v>0.19073305349282449</v>
      </c>
      <c r="I9" s="98">
        <v>0.21117504961015318</v>
      </c>
      <c r="J9" s="244">
        <v>0.19339478956339637</v>
      </c>
      <c r="K9" s="244">
        <v>0.19292972129065764</v>
      </c>
      <c r="L9" s="244">
        <v>0.15065005991085265</v>
      </c>
      <c r="M9" s="98">
        <v>4.1655844236198801E-2</v>
      </c>
      <c r="N9" s="562">
        <v>7.4372215218260637E-2</v>
      </c>
      <c r="O9" s="562">
        <v>0.12898424643629838</v>
      </c>
      <c r="P9" s="190">
        <v>0.14453297104215804</v>
      </c>
      <c r="Q9" s="190">
        <f>'PL накопленные данные'!R77/AVERAGE(' BS'!O71-' BS'!O65,' BS'!P71-' BS'!P65)*4</f>
        <v>9.3226917552561003E-2</v>
      </c>
    </row>
    <row r="10" spans="1:17" x14ac:dyDescent="0.25">
      <c r="B10" s="434"/>
      <c r="C10" s="445"/>
      <c r="D10" s="446"/>
      <c r="E10" s="447"/>
      <c r="F10" s="235"/>
      <c r="G10" s="235"/>
      <c r="H10" s="235"/>
      <c r="I10" s="447"/>
      <c r="J10" s="235"/>
      <c r="K10" s="235"/>
      <c r="L10" s="235"/>
      <c r="M10" s="447"/>
      <c r="N10" s="12"/>
      <c r="O10" s="12"/>
      <c r="P10" s="448"/>
      <c r="Q10" s="448"/>
    </row>
    <row r="11" spans="1:17" x14ac:dyDescent="0.25">
      <c r="B11" s="436" t="s">
        <v>161</v>
      </c>
      <c r="C11" s="442" t="s">
        <v>150</v>
      </c>
      <c r="D11" s="245" t="s">
        <v>150</v>
      </c>
      <c r="E11" s="443">
        <v>3.154350115407261E-2</v>
      </c>
      <c r="F11" s="245">
        <v>3.2719979360800844E-2</v>
      </c>
      <c r="G11" s="245">
        <v>5.3936078512003313E-2</v>
      </c>
      <c r="H11" s="245">
        <v>1.3017415528891641E-2</v>
      </c>
      <c r="I11" s="443">
        <v>3.1972294708012244E-2</v>
      </c>
      <c r="J11" s="245">
        <v>3.2210530188065599E-2</v>
      </c>
      <c r="K11" s="245">
        <v>3.1486721830351165E-2</v>
      </c>
      <c r="L11" s="245">
        <v>3.5463307014630204E-3</v>
      </c>
      <c r="M11" s="443">
        <v>6.3201772998947798E-3</v>
      </c>
      <c r="N11" s="561">
        <v>1.4459880713228545E-2</v>
      </c>
      <c r="O11" s="561">
        <v>3.113054499859565E-2</v>
      </c>
      <c r="P11" s="444">
        <v>2.5762400033686503E-2</v>
      </c>
      <c r="Q11" s="444">
        <f>'PL по кварталам'!P77/AVERAGE(' BS'!O38,' BS'!P38)*4</f>
        <v>1.3179909443980784E-2</v>
      </c>
    </row>
    <row r="12" spans="1:17" x14ac:dyDescent="0.25">
      <c r="B12" s="40" t="s">
        <v>162</v>
      </c>
      <c r="C12" s="442">
        <v>2.2522039986606145E-2</v>
      </c>
      <c r="D12" s="245">
        <v>1.019770792105623E-2</v>
      </c>
      <c r="E12" s="443">
        <v>3.154350115407261E-2</v>
      </c>
      <c r="F12" s="245">
        <v>3.2537217605767603E-2</v>
      </c>
      <c r="G12" s="245">
        <v>3.8874254426035836E-2</v>
      </c>
      <c r="H12" s="245">
        <v>2.9765469253520725E-2</v>
      </c>
      <c r="I12" s="443">
        <v>3.1972294708012244E-2</v>
      </c>
      <c r="J12" s="245">
        <v>3.2252802457794341E-2</v>
      </c>
      <c r="K12" s="245">
        <v>3.0548237760710521E-2</v>
      </c>
      <c r="L12" s="245">
        <v>2.2853654725329187E-2</v>
      </c>
      <c r="M12" s="443">
        <v>6.3201772998947798E-3</v>
      </c>
      <c r="N12" s="561">
        <v>1.0235032064341367E-2</v>
      </c>
      <c r="O12" s="561">
        <v>1.8139165669514967E-2</v>
      </c>
      <c r="P12" s="444">
        <v>2.1278410953797577E-2</v>
      </c>
      <c r="Q12" s="444">
        <f>'PL накопленные данные'!R77/AVERAGE(' BS'!$O38,' BS'!P38)*4</f>
        <v>1.3179909443980784E-2</v>
      </c>
    </row>
    <row r="13" spans="1:17" x14ac:dyDescent="0.25">
      <c r="B13" s="5"/>
      <c r="C13" s="451"/>
      <c r="D13" s="452"/>
      <c r="E13" s="17"/>
      <c r="F13" s="234"/>
      <c r="G13" s="234"/>
      <c r="H13" s="234"/>
      <c r="I13" s="17"/>
      <c r="J13" s="234"/>
      <c r="K13" s="234"/>
      <c r="L13" s="234"/>
      <c r="M13" s="17"/>
      <c r="N13" s="13"/>
      <c r="O13" s="13"/>
      <c r="P13" s="189"/>
      <c r="Q13" s="189"/>
    </row>
    <row r="14" spans="1:17" x14ac:dyDescent="0.25">
      <c r="B14" s="276" t="s">
        <v>113</v>
      </c>
      <c r="C14" s="449" t="s">
        <v>150</v>
      </c>
      <c r="D14" s="449" t="s">
        <v>150</v>
      </c>
      <c r="E14" s="98">
        <v>9.8261853850143133E-2</v>
      </c>
      <c r="F14" s="244">
        <v>0.10649602982395956</v>
      </c>
      <c r="G14" s="244">
        <v>9.6254275295744401E-2</v>
      </c>
      <c r="H14" s="244">
        <v>9.0947091623680879E-2</v>
      </c>
      <c r="I14" s="98">
        <v>8.3906406469706971E-2</v>
      </c>
      <c r="J14" s="244">
        <v>9.5843980405066045E-2</v>
      </c>
      <c r="K14" s="244">
        <v>9.1276360065550816E-2</v>
      </c>
      <c r="L14" s="244">
        <v>6.8953516184483338E-2</v>
      </c>
      <c r="M14" s="98">
        <v>5.8087436494760877E-2</v>
      </c>
      <c r="N14" s="562">
        <v>6.3752261484683354E-2</v>
      </c>
      <c r="O14" s="562">
        <v>6.5521739762272269E-2</v>
      </c>
      <c r="P14" s="190">
        <v>8.0580126978602382E-2</v>
      </c>
      <c r="Q14" s="190">
        <v>8.0503812255697305E-2</v>
      </c>
    </row>
    <row r="15" spans="1:17" x14ac:dyDescent="0.25">
      <c r="B15" s="276" t="s">
        <v>129</v>
      </c>
      <c r="C15" s="450">
        <v>8.5000000000000006E-2</v>
      </c>
      <c r="D15" s="244">
        <v>8.2071479959745675E-2</v>
      </c>
      <c r="E15" s="98">
        <v>9.8261853850143133E-2</v>
      </c>
      <c r="F15" s="244">
        <v>0.10444822850577662</v>
      </c>
      <c r="G15" s="244">
        <v>9.9310686247982852E-2</v>
      </c>
      <c r="H15" s="244">
        <v>9.1898740701370912E-2</v>
      </c>
      <c r="I15" s="98">
        <v>8.3906406469706971E-2</v>
      </c>
      <c r="J15" s="244">
        <v>9.0118655555784966E-2</v>
      </c>
      <c r="K15" s="244">
        <v>8.7762473935811158E-2</v>
      </c>
      <c r="L15" s="244">
        <v>8.0317145149436719E-2</v>
      </c>
      <c r="M15" s="98">
        <v>5.8087436494760877E-2</v>
      </c>
      <c r="N15" s="562">
        <v>5.9327335705471232E-2</v>
      </c>
      <c r="O15" s="562">
        <v>6.3120160808644091E-2</v>
      </c>
      <c r="P15" s="190">
        <v>7.1662866318771182E-2</v>
      </c>
      <c r="Q15" s="190">
        <v>8.0503812255697305E-2</v>
      </c>
    </row>
    <row r="16" spans="1:17" x14ac:dyDescent="0.25">
      <c r="B16" s="39"/>
      <c r="C16" s="453"/>
      <c r="D16" s="454"/>
      <c r="E16" s="455"/>
      <c r="F16" s="456"/>
      <c r="G16" s="456"/>
      <c r="H16" s="456"/>
      <c r="I16" s="455"/>
      <c r="J16" s="456"/>
      <c r="K16" s="456"/>
      <c r="L16" s="456"/>
      <c r="M16" s="455"/>
      <c r="N16" s="563"/>
      <c r="O16" s="563"/>
      <c r="P16" s="457"/>
      <c r="Q16" s="457"/>
    </row>
    <row r="17" spans="2:17" x14ac:dyDescent="0.25">
      <c r="B17" s="40" t="s">
        <v>163</v>
      </c>
      <c r="C17" s="442" t="s">
        <v>150</v>
      </c>
      <c r="D17" s="245" t="s">
        <v>150</v>
      </c>
      <c r="E17" s="443">
        <v>0.32306036765491208</v>
      </c>
      <c r="F17" s="245">
        <v>0.2967162707228746</v>
      </c>
      <c r="G17" s="245">
        <v>0.29914104209708159</v>
      </c>
      <c r="H17" s="245">
        <v>0.33066644260496225</v>
      </c>
      <c r="I17" s="443">
        <v>0.28575593989835885</v>
      </c>
      <c r="J17" s="245">
        <v>0.29432167067361076</v>
      </c>
      <c r="K17" s="245">
        <v>0.33318733249870952</v>
      </c>
      <c r="L17" s="458">
        <v>0.50554961069654014</v>
      </c>
      <c r="M17" s="443">
        <v>0.39533497914361115</v>
      </c>
      <c r="N17" s="561">
        <v>0.36191149987136612</v>
      </c>
      <c r="O17" s="564">
        <v>0.30688121533156765</v>
      </c>
      <c r="P17" s="444">
        <v>0.38132967646909444</v>
      </c>
      <c r="Q17" s="444">
        <f>-'PL по кварталам'!P61/('PL по кварталам'!P83)</f>
        <v>0.36634304207119739</v>
      </c>
    </row>
    <row r="18" spans="2:17" x14ac:dyDescent="0.25">
      <c r="B18" s="432" t="s">
        <v>164</v>
      </c>
      <c r="C18" s="459">
        <v>0.45331660271936974</v>
      </c>
      <c r="D18" s="460">
        <v>0.35233484113680885</v>
      </c>
      <c r="E18" s="461">
        <v>0.32306036765491208</v>
      </c>
      <c r="F18" s="460">
        <v>0.30903811058891895</v>
      </c>
      <c r="G18" s="460">
        <v>0.30530287161639669</v>
      </c>
      <c r="H18" s="460">
        <v>0.31237406494731068</v>
      </c>
      <c r="I18" s="461">
        <v>0.28575593989835885</v>
      </c>
      <c r="J18" s="460">
        <v>0.28974939853703713</v>
      </c>
      <c r="K18" s="460">
        <v>0.30496944379319252</v>
      </c>
      <c r="L18" s="460">
        <v>0.35145346050613979</v>
      </c>
      <c r="M18" s="461">
        <v>0.39533497914361115</v>
      </c>
      <c r="N18" s="460">
        <v>0.37629602491298775</v>
      </c>
      <c r="O18" s="460">
        <v>0.3469327358051833</v>
      </c>
      <c r="P18" s="484">
        <v>0.35704157026643779</v>
      </c>
      <c r="Q18" s="484">
        <f>-'PL накопленные данные'!R61/('PL накопленные данные'!R83)</f>
        <v>0.36634304207119739</v>
      </c>
    </row>
    <row r="19" spans="2:17" s="243" customFormat="1" x14ac:dyDescent="0.25">
      <c r="C19" s="454"/>
      <c r="D19" s="454"/>
      <c r="E19" s="456"/>
      <c r="F19" s="456"/>
      <c r="G19" s="456"/>
      <c r="H19" s="456"/>
      <c r="I19" s="456"/>
      <c r="J19" s="456"/>
      <c r="K19" s="456"/>
      <c r="L19" s="456"/>
      <c r="M19" s="563"/>
      <c r="N19" s="563"/>
      <c r="O19" s="563"/>
      <c r="P19" s="563"/>
      <c r="Q19" s="456"/>
    </row>
    <row r="20" spans="2:17" x14ac:dyDescent="0.25">
      <c r="B20" s="269" t="s">
        <v>115</v>
      </c>
      <c r="C20" s="462" t="s">
        <v>150</v>
      </c>
      <c r="D20" s="462" t="s">
        <v>150</v>
      </c>
      <c r="E20" s="463">
        <v>8.4469388694522002E-2</v>
      </c>
      <c r="F20" s="464">
        <v>8.4868119494006605E-2</v>
      </c>
      <c r="G20" s="464">
        <v>6.9694403557796977E-2</v>
      </c>
      <c r="H20" s="464">
        <v>9.2141871736646397E-2</v>
      </c>
      <c r="I20" s="463">
        <v>8.8641926016070752E-2</v>
      </c>
      <c r="J20" s="464">
        <v>6.5107576634687719E-2</v>
      </c>
      <c r="K20" s="464">
        <v>6.5431149088467255E-2</v>
      </c>
      <c r="L20" s="464">
        <v>7.3858879393347551E-2</v>
      </c>
      <c r="M20" s="463">
        <v>6.3595628733675802E-2</v>
      </c>
      <c r="N20" s="464">
        <v>5.5438319034712066E-2</v>
      </c>
      <c r="O20" s="464">
        <v>5.9181465341817133E-2</v>
      </c>
      <c r="P20" s="465">
        <v>6.4461635821203941E-2</v>
      </c>
      <c r="Q20" s="465">
        <f>SUM('PL по кварталам'!P21:P22)/AVERAGE(' BS'!O19:P19)*4</f>
        <v>7.9288256038538174E-2</v>
      </c>
    </row>
    <row r="21" spans="2:17" x14ac:dyDescent="0.25">
      <c r="B21" s="276" t="s">
        <v>114</v>
      </c>
      <c r="C21" s="450">
        <v>5.8999999999999997E-2</v>
      </c>
      <c r="D21" s="466">
        <v>8.8260789489971542E-2</v>
      </c>
      <c r="E21" s="467">
        <v>8.4110899342948769E-2</v>
      </c>
      <c r="F21" s="466">
        <v>8.4095040071462179E-2</v>
      </c>
      <c r="G21" s="466">
        <v>7.4569300369053376E-2</v>
      </c>
      <c r="H21" s="466">
        <v>7.7089908905595028E-2</v>
      </c>
      <c r="I21" s="467">
        <v>8.8641926016070752E-2</v>
      </c>
      <c r="J21" s="466">
        <v>7.7035981754485491E-2</v>
      </c>
      <c r="K21" s="466">
        <v>7.2014146681033092E-2</v>
      </c>
      <c r="L21" s="466">
        <v>7.4799351489514665E-2</v>
      </c>
      <c r="M21" s="467">
        <v>6.3595628733675802E-2</v>
      </c>
      <c r="N21" s="466">
        <v>5.9624951003309563E-2</v>
      </c>
      <c r="O21" s="466">
        <v>6.0074396768546569E-2</v>
      </c>
      <c r="P21" s="468">
        <v>6.0814395094888347E-2</v>
      </c>
      <c r="Q21" s="468">
        <f>SUM('PL накопленные данные'!R21:R22)/AVERAGE(' BS'!O19,' BS'!P19)*4</f>
        <v>7.9288256038538174E-2</v>
      </c>
    </row>
    <row r="22" spans="2:17" x14ac:dyDescent="0.25">
      <c r="B22" s="39"/>
      <c r="C22" s="453"/>
      <c r="D22" s="454"/>
      <c r="E22" s="455"/>
      <c r="F22" s="456"/>
      <c r="G22" s="456"/>
      <c r="H22" s="456"/>
      <c r="I22" s="455"/>
      <c r="J22" s="456"/>
      <c r="K22" s="456"/>
      <c r="L22" s="456"/>
      <c r="M22" s="455"/>
      <c r="N22" s="563"/>
      <c r="O22" s="563"/>
      <c r="P22" s="457"/>
      <c r="Q22" s="457"/>
    </row>
    <row r="23" spans="2:17" x14ac:dyDescent="0.25">
      <c r="B23" s="40" t="s">
        <v>117</v>
      </c>
      <c r="C23" s="442" t="s">
        <v>150</v>
      </c>
      <c r="D23" s="245" t="s">
        <v>150</v>
      </c>
      <c r="E23" s="469">
        <v>9.3346533196590281E-2</v>
      </c>
      <c r="F23" s="470">
        <v>9.0293047177649147E-2</v>
      </c>
      <c r="G23" s="470">
        <v>6.3990593138266202E-2</v>
      </c>
      <c r="H23" s="470">
        <v>9.5240775647395012E-2</v>
      </c>
      <c r="I23" s="469">
        <v>0.10096988564527137</v>
      </c>
      <c r="J23" s="470">
        <v>7.3511654102525928E-2</v>
      </c>
      <c r="K23" s="470">
        <v>7.1409615706258089E-2</v>
      </c>
      <c r="L23" s="470">
        <v>8.2087989127974229E-2</v>
      </c>
      <c r="M23" s="469">
        <v>7.7459300169857942E-2</v>
      </c>
      <c r="N23" s="470">
        <v>6.3444047010730711E-2</v>
      </c>
      <c r="O23" s="470">
        <v>6.6383467506362079E-2</v>
      </c>
      <c r="P23" s="471">
        <v>5.4867587156712846E-2</v>
      </c>
      <c r="Q23" s="471">
        <f>'PL по кварталам'!P21/AVERAGE(SUM(' BS'!O20:O22),SUM(' BS'!P20:P22))*4</f>
        <v>8.5248845138170562E-2</v>
      </c>
    </row>
    <row r="24" spans="2:17" x14ac:dyDescent="0.25">
      <c r="B24" s="40" t="s">
        <v>116</v>
      </c>
      <c r="C24" s="472">
        <v>0.08</v>
      </c>
      <c r="D24" s="470">
        <v>0.10006879768450302</v>
      </c>
      <c r="E24" s="469">
        <v>9.3346533196590281E-2</v>
      </c>
      <c r="F24" s="470">
        <v>9.1508101125476846E-2</v>
      </c>
      <c r="G24" s="470">
        <v>8.0719039267968862E-2</v>
      </c>
      <c r="H24" s="470">
        <v>8.4062426651048697E-2</v>
      </c>
      <c r="I24" s="469">
        <v>0.10096988564527137</v>
      </c>
      <c r="J24" s="470">
        <v>8.6948208950639844E-2</v>
      </c>
      <c r="K24" s="470">
        <v>8.1221539591104203E-2</v>
      </c>
      <c r="L24" s="470">
        <v>8.4782568029682939E-2</v>
      </c>
      <c r="M24" s="469">
        <v>7.7459300169857942E-2</v>
      </c>
      <c r="N24" s="470">
        <v>7.0529520419897643E-2</v>
      </c>
      <c r="O24" s="470">
        <v>6.9617295470132359E-2</v>
      </c>
      <c r="P24" s="471">
        <v>6.5551458290429701E-2</v>
      </c>
      <c r="Q24" s="471">
        <f>'PL накопленные данные'!R21/AVERAGE(SUM(' BS'!O20:O22),SUM(' BS'!P20:P22))*4</f>
        <v>8.5248845138170562E-2</v>
      </c>
    </row>
    <row r="25" spans="2:17" x14ac:dyDescent="0.25">
      <c r="B25" s="431"/>
      <c r="C25" s="473"/>
      <c r="D25" s="474"/>
      <c r="E25" s="475"/>
      <c r="F25" s="474"/>
      <c r="G25" s="474"/>
      <c r="H25" s="474"/>
      <c r="I25" s="475"/>
      <c r="J25" s="474"/>
      <c r="K25" s="474"/>
      <c r="L25" s="474"/>
      <c r="M25" s="475"/>
      <c r="N25" s="474"/>
      <c r="O25" s="474"/>
      <c r="P25" s="476"/>
      <c r="Q25" s="476"/>
    </row>
    <row r="26" spans="2:17" x14ac:dyDescent="0.25">
      <c r="B26" s="276" t="s">
        <v>118</v>
      </c>
      <c r="C26" s="450">
        <v>6.0999999999999999E-2</v>
      </c>
      <c r="D26" s="244">
        <v>0.11602377315336579</v>
      </c>
      <c r="E26" s="98">
        <v>0.12023885897180087</v>
      </c>
      <c r="F26" s="244">
        <v>0.12586862994826561</v>
      </c>
      <c r="G26" s="244">
        <v>0.12207513466424347</v>
      </c>
      <c r="H26" s="244">
        <v>9.4622554653425353E-2</v>
      </c>
      <c r="I26" s="98">
        <v>0.10095419318080172</v>
      </c>
      <c r="J26" s="244">
        <v>0.10824586456853336</v>
      </c>
      <c r="K26" s="244">
        <v>0.10849065383338019</v>
      </c>
      <c r="L26" s="244">
        <v>9.7689157672988289E-2</v>
      </c>
      <c r="M26" s="98">
        <v>0.12202001777059014</v>
      </c>
      <c r="N26" s="562">
        <v>0.12454922444881072</v>
      </c>
      <c r="O26" s="562">
        <v>0.11538088356202859</v>
      </c>
      <c r="P26" s="190">
        <v>0.10872133135414271</v>
      </c>
      <c r="Q26" s="190">
        <f>('Качество портфеля'!P17+'Качество портфеля'!P37)/('Качество портфеля'!P21+'Качество портфеля'!P41)</f>
        <v>0.10956728753263266</v>
      </c>
    </row>
    <row r="27" spans="2:17" x14ac:dyDescent="0.25">
      <c r="B27" s="276" t="s">
        <v>119</v>
      </c>
      <c r="C27" s="450">
        <v>5.7000000000000002E-2</v>
      </c>
      <c r="D27" s="244">
        <v>0.1145669043251811</v>
      </c>
      <c r="E27" s="98">
        <v>0.11849961541450357</v>
      </c>
      <c r="F27" s="244">
        <v>0.12477734978059687</v>
      </c>
      <c r="G27" s="244">
        <v>0.12599208084019595</v>
      </c>
      <c r="H27" s="244">
        <v>0.10094880745947302</v>
      </c>
      <c r="I27" s="98">
        <v>0.10731132835952353</v>
      </c>
      <c r="J27" s="244">
        <v>0.11270595021624034</v>
      </c>
      <c r="K27" s="244">
        <v>0.11483832144254461</v>
      </c>
      <c r="L27" s="244">
        <v>0.10436843429453585</v>
      </c>
      <c r="M27" s="98">
        <v>0.13247661038821379</v>
      </c>
      <c r="N27" s="562">
        <v>0.13538538054515564</v>
      </c>
      <c r="O27" s="562">
        <v>0.12385799749571025</v>
      </c>
      <c r="P27" s="190">
        <v>0.10714285714285714</v>
      </c>
      <c r="Q27" s="190">
        <f>'Качество портфеля'!P17/'Качество портфеля'!P21</f>
        <v>0.10706137751671155</v>
      </c>
    </row>
    <row r="28" spans="2:17" x14ac:dyDescent="0.25">
      <c r="B28" s="276" t="s">
        <v>120</v>
      </c>
      <c r="C28" s="450">
        <v>1.5</v>
      </c>
      <c r="D28" s="244">
        <v>1.1547413524654064</v>
      </c>
      <c r="E28" s="98">
        <v>1.1453132997394786</v>
      </c>
      <c r="F28" s="244">
        <v>1.1082493129985187</v>
      </c>
      <c r="G28" s="244">
        <v>1.064352994610184</v>
      </c>
      <c r="H28" s="244">
        <v>1.135326039180008</v>
      </c>
      <c r="I28" s="98">
        <v>1.1240024002813482</v>
      </c>
      <c r="J28" s="244">
        <v>1.0786358140639989</v>
      </c>
      <c r="K28" s="244">
        <v>1.055235635477302</v>
      </c>
      <c r="L28" s="244">
        <v>1.1553421001478419</v>
      </c>
      <c r="M28" s="98">
        <v>1.0516663455981508</v>
      </c>
      <c r="N28" s="562">
        <v>1.0409891664567144</v>
      </c>
      <c r="O28" s="562">
        <v>1.0641763299991147</v>
      </c>
      <c r="P28" s="190">
        <v>1.053843565213211</v>
      </c>
      <c r="Q28" s="190">
        <f>-('Качество портфеля'!P22+'Качество портфеля'!P42)/('Качество портфеля'!P17+'Качество портфеля'!P37)</f>
        <v>1.0321967358830646</v>
      </c>
    </row>
    <row r="29" spans="2:17" x14ac:dyDescent="0.25">
      <c r="B29" s="276" t="s">
        <v>121</v>
      </c>
      <c r="C29" s="450">
        <v>1.6180000000000001</v>
      </c>
      <c r="D29" s="244">
        <v>1.1781194968085902</v>
      </c>
      <c r="E29" s="98">
        <v>1.1679253835664898</v>
      </c>
      <c r="F29" s="244">
        <v>1.1262869681948435</v>
      </c>
      <c r="G29" s="244">
        <v>1.0691918661475783</v>
      </c>
      <c r="H29" s="244">
        <v>1.1381116453442637</v>
      </c>
      <c r="I29" s="98">
        <v>1.1253576334470619</v>
      </c>
      <c r="J29" s="244">
        <v>1.0777269287935864</v>
      </c>
      <c r="K29" s="244">
        <v>1.0499402948179097</v>
      </c>
      <c r="L29" s="244">
        <v>1.1509294026606374</v>
      </c>
      <c r="M29" s="98">
        <v>1.051160808507184</v>
      </c>
      <c r="N29" s="562">
        <v>1.0389607739091391</v>
      </c>
      <c r="O29" s="562">
        <v>1.0585041654965834</v>
      </c>
      <c r="P29" s="190">
        <v>1.0819213686461588</v>
      </c>
      <c r="Q29" s="190">
        <f>-'Качество портфеля'!P22/'Качество портфеля'!P17</f>
        <v>1.0632689936042676</v>
      </c>
    </row>
    <row r="30" spans="2:17" x14ac:dyDescent="0.25">
      <c r="B30" s="5"/>
      <c r="C30" s="477"/>
      <c r="D30" s="446"/>
      <c r="E30" s="478"/>
      <c r="F30" s="479"/>
      <c r="G30" s="479"/>
      <c r="H30" s="479"/>
      <c r="I30" s="478"/>
      <c r="J30" s="479"/>
      <c r="K30" s="479"/>
      <c r="L30" s="479"/>
      <c r="M30" s="478"/>
      <c r="N30" s="565"/>
      <c r="O30" s="565"/>
      <c r="P30" s="480"/>
      <c r="Q30" s="480"/>
    </row>
    <row r="31" spans="2:17" x14ac:dyDescent="0.25">
      <c r="B31" s="40" t="s">
        <v>122</v>
      </c>
      <c r="C31" s="472">
        <v>5.3999999999999999E-2</v>
      </c>
      <c r="D31" s="245">
        <v>9.7966526160113879E-2</v>
      </c>
      <c r="E31" s="443">
        <v>0.11124870510112241</v>
      </c>
      <c r="F31" s="245">
        <v>0.1171468447102597</v>
      </c>
      <c r="G31" s="245">
        <v>0.11541558446685936</v>
      </c>
      <c r="H31" s="458">
        <v>8.8440544351617509E-2</v>
      </c>
      <c r="I31" s="481">
        <v>9.2758193076341158E-2</v>
      </c>
      <c r="J31" s="458">
        <v>0.100168953697473</v>
      </c>
      <c r="K31" s="458">
        <v>9.7136678241431823E-2</v>
      </c>
      <c r="L31" s="458">
        <v>8.9259862174959584E-2</v>
      </c>
      <c r="M31" s="481">
        <v>0.11697074704033308</v>
      </c>
      <c r="N31" s="564">
        <v>0.1210287331612392</v>
      </c>
      <c r="O31" s="564">
        <v>0.11188048315115183</v>
      </c>
      <c r="P31" s="482">
        <v>0.10574897264499411</v>
      </c>
      <c r="Q31" s="482">
        <v>0.10647518621903414</v>
      </c>
    </row>
    <row r="32" spans="2:17" x14ac:dyDescent="0.25">
      <c r="B32" s="40" t="s">
        <v>123</v>
      </c>
      <c r="C32" s="472">
        <v>5.2999999999999999E-2</v>
      </c>
      <c r="D32" s="245">
        <v>9.4885295392436328E-2</v>
      </c>
      <c r="E32" s="443">
        <v>0.10881279072831158</v>
      </c>
      <c r="F32" s="245">
        <v>0.11538755118745449</v>
      </c>
      <c r="G32" s="245">
        <v>0.11874683364862064</v>
      </c>
      <c r="H32" s="245">
        <v>9.4254711400807545E-2</v>
      </c>
      <c r="I32" s="443">
        <v>9.842966598278273E-2</v>
      </c>
      <c r="J32" s="245">
        <v>0.10412587624396943</v>
      </c>
      <c r="K32" s="245">
        <v>0.102283192750935</v>
      </c>
      <c r="L32" s="245">
        <v>9.5029732788264612E-2</v>
      </c>
      <c r="M32" s="443">
        <v>0.1269162740644052</v>
      </c>
      <c r="N32" s="561">
        <v>0.13140956629360445</v>
      </c>
      <c r="O32" s="561">
        <v>0.11997368379946186</v>
      </c>
      <c r="P32" s="444">
        <v>0.10392275869202401</v>
      </c>
      <c r="Q32" s="444">
        <v>0.10373973039561034</v>
      </c>
    </row>
    <row r="33" spans="1:18" x14ac:dyDescent="0.25">
      <c r="B33" s="40" t="s">
        <v>124</v>
      </c>
      <c r="C33" s="472">
        <v>1.68</v>
      </c>
      <c r="D33" s="245">
        <v>1.3675839491367485</v>
      </c>
      <c r="E33" s="443">
        <v>1.2378675706897166</v>
      </c>
      <c r="F33" s="245">
        <v>1.190760391483368</v>
      </c>
      <c r="G33" s="245">
        <v>1.1257668169123005</v>
      </c>
      <c r="H33" s="245">
        <v>1.2146855379435764</v>
      </c>
      <c r="I33" s="443">
        <v>1.2233178729591956</v>
      </c>
      <c r="J33" s="245">
        <v>1.1656093224310806</v>
      </c>
      <c r="K33" s="245">
        <v>1.1785785360774701</v>
      </c>
      <c r="L33" s="245">
        <v>1.2644473544711146</v>
      </c>
      <c r="M33" s="443">
        <v>1.0970682825180649</v>
      </c>
      <c r="N33" s="561">
        <v>1.0712721826286906</v>
      </c>
      <c r="O33" s="561">
        <v>1.0974647456093241</v>
      </c>
      <c r="P33" s="444">
        <v>1.0834714185502483</v>
      </c>
      <c r="Q33" s="444">
        <v>1.0621821465262211</v>
      </c>
    </row>
    <row r="34" spans="1:18" x14ac:dyDescent="0.25">
      <c r="B34" s="432" t="s">
        <v>125</v>
      </c>
      <c r="C34" s="483">
        <v>1.742</v>
      </c>
      <c r="D34" s="460">
        <v>1.4224912629113184</v>
      </c>
      <c r="E34" s="461">
        <v>1.2718974291453051</v>
      </c>
      <c r="F34" s="460">
        <v>1.217939903720356</v>
      </c>
      <c r="G34" s="460">
        <v>1.1344277897291994</v>
      </c>
      <c r="H34" s="460">
        <v>1.2189418613217224</v>
      </c>
      <c r="I34" s="461">
        <v>1.2269026956350526</v>
      </c>
      <c r="J34" s="460">
        <v>1.1665326810668393</v>
      </c>
      <c r="K34" s="460">
        <v>1.1788190985138853</v>
      </c>
      <c r="L34" s="460">
        <v>1.2640328054681222</v>
      </c>
      <c r="M34" s="461">
        <v>1.097218692523227</v>
      </c>
      <c r="N34" s="460">
        <v>1.0703993196325072</v>
      </c>
      <c r="O34" s="460">
        <v>1.0927719482086471</v>
      </c>
      <c r="P34" s="484">
        <v>1.1154439492165469</v>
      </c>
      <c r="Q34" s="484">
        <v>1.0973134026125497</v>
      </c>
    </row>
    <row r="35" spans="1:18" s="243" customFormat="1" x14ac:dyDescent="0.25">
      <c r="A35" s="343"/>
      <c r="B35" s="343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566"/>
      <c r="N35" s="566"/>
      <c r="O35" s="566"/>
      <c r="P35" s="566"/>
      <c r="Q35" s="485"/>
    </row>
    <row r="36" spans="1:18" x14ac:dyDescent="0.25">
      <c r="A36" s="24"/>
      <c r="B36" s="528" t="s">
        <v>145</v>
      </c>
      <c r="C36" s="486" t="s">
        <v>150</v>
      </c>
      <c r="D36" s="462" t="s">
        <v>150</v>
      </c>
      <c r="E36" s="529">
        <v>6.0472233832613062E-2</v>
      </c>
      <c r="F36" s="487">
        <v>5.9932305619661654E-2</v>
      </c>
      <c r="G36" s="487">
        <v>7.0150059174255597E-2</v>
      </c>
      <c r="H36" s="488">
        <v>9.5389272228719083E-2</v>
      </c>
      <c r="I36" s="529">
        <v>0.11122609612158535</v>
      </c>
      <c r="J36" s="487">
        <v>0.11573215678547093</v>
      </c>
      <c r="K36" s="487">
        <v>0.12164869647918332</v>
      </c>
      <c r="L36" s="488">
        <v>0.14384301602982472</v>
      </c>
      <c r="M36" s="529">
        <v>0.16427216525971236</v>
      </c>
      <c r="N36" s="487">
        <v>0.16574083442061352</v>
      </c>
      <c r="O36" s="487">
        <v>0.15662846410223882</v>
      </c>
      <c r="P36" s="488">
        <v>0.14589970037069017</v>
      </c>
      <c r="Q36" s="587">
        <f>-('PL по кварталам'!P11+'PL по кварталам'!P17)/AVERAGE(' BS'!O88,' BS'!P88)*4</f>
        <v>0.13285162403945691</v>
      </c>
      <c r="R36" s="598"/>
    </row>
    <row r="37" spans="1:18" x14ac:dyDescent="0.25">
      <c r="A37" s="24"/>
      <c r="B37" s="435" t="s">
        <v>146</v>
      </c>
      <c r="C37" s="190">
        <v>4.0316942520572462E-2</v>
      </c>
      <c r="D37" s="244">
        <v>7.3398958896063321E-2</v>
      </c>
      <c r="E37" s="98">
        <v>6.0472233832613055E-2</v>
      </c>
      <c r="F37" s="244">
        <v>6.100429984021661E-2</v>
      </c>
      <c r="G37" s="244">
        <v>6.2722571815263362E-2</v>
      </c>
      <c r="H37" s="190">
        <v>6.6211972194978624E-2</v>
      </c>
      <c r="I37" s="98">
        <v>0.11122609612158535</v>
      </c>
      <c r="J37" s="244">
        <v>0.11562595749503406</v>
      </c>
      <c r="K37" s="244">
        <v>0.11011633095601044</v>
      </c>
      <c r="L37" s="190">
        <v>0.11702076722592003</v>
      </c>
      <c r="M37" s="98">
        <v>0.16427216525971236</v>
      </c>
      <c r="N37" s="562">
        <v>0.16400130569516966</v>
      </c>
      <c r="O37" s="562">
        <v>0.16204824872043866</v>
      </c>
      <c r="P37" s="190">
        <v>0.15869678853860963</v>
      </c>
      <c r="Q37" s="588">
        <f>-('PL накопленные данные'!R11+'PL накопленные данные'!R17)/AVERAGE(' BS'!O88,' BS'!P88)*4</f>
        <v>0.13285162403945691</v>
      </c>
      <c r="R37" s="598"/>
    </row>
    <row r="38" spans="1:18" s="243" customFormat="1" x14ac:dyDescent="0.25">
      <c r="A38" s="343"/>
      <c r="B38" s="533"/>
      <c r="C38" s="485"/>
      <c r="D38" s="597"/>
      <c r="E38" s="531"/>
      <c r="F38" s="485"/>
      <c r="G38" s="485"/>
      <c r="H38" s="530"/>
      <c r="I38" s="531"/>
      <c r="J38" s="485"/>
      <c r="K38" s="485"/>
      <c r="L38" s="530"/>
      <c r="M38" s="566"/>
      <c r="N38" s="566"/>
      <c r="O38" s="566"/>
      <c r="P38" s="530"/>
      <c r="Q38" s="530"/>
      <c r="R38" s="599"/>
    </row>
    <row r="39" spans="1:18" x14ac:dyDescent="0.25">
      <c r="A39" s="24"/>
      <c r="B39" s="534" t="s">
        <v>176</v>
      </c>
      <c r="C39" s="532" t="s">
        <v>150</v>
      </c>
      <c r="D39" s="245" t="s">
        <v>150</v>
      </c>
      <c r="E39" s="443">
        <v>0.14869702545803856</v>
      </c>
      <c r="F39" s="245">
        <v>0.1551099386647489</v>
      </c>
      <c r="G39" s="245">
        <v>0.15198467109570937</v>
      </c>
      <c r="H39" s="444">
        <v>0.16804533612281858</v>
      </c>
      <c r="I39" s="443">
        <v>0.17587752015004726</v>
      </c>
      <c r="J39" s="245">
        <v>0.18828796548458587</v>
      </c>
      <c r="K39" s="245">
        <v>0.18901201699297226</v>
      </c>
      <c r="L39" s="444">
        <v>0.18729952451335588</v>
      </c>
      <c r="M39" s="561">
        <v>0.19118432215905226</v>
      </c>
      <c r="N39" s="561">
        <v>0.2003856572513493</v>
      </c>
      <c r="O39" s="561">
        <v>0.20154324432009038</v>
      </c>
      <c r="P39" s="444">
        <v>0.20569335559662644</v>
      </c>
      <c r="Q39" s="444">
        <f>'PL по кварталам'!P5/AVERAGE(' BS'!O82,' BS'!P82)*4</f>
        <v>0.19249187770632736</v>
      </c>
      <c r="R39" s="598"/>
    </row>
    <row r="40" spans="1:18" x14ac:dyDescent="0.25">
      <c r="A40" s="24"/>
      <c r="B40" s="535" t="s">
        <v>177</v>
      </c>
      <c r="C40" s="532">
        <v>0.11678361708566412</v>
      </c>
      <c r="D40" s="245">
        <v>0.14389680677869085</v>
      </c>
      <c r="E40" s="443">
        <v>0.14869702545803856</v>
      </c>
      <c r="F40" s="245">
        <v>0.15293326532655729</v>
      </c>
      <c r="G40" s="245">
        <v>0.15159056909966012</v>
      </c>
      <c r="H40" s="444">
        <v>0.15462358050563429</v>
      </c>
      <c r="I40" s="443">
        <v>0.17587752015004726</v>
      </c>
      <c r="J40" s="245">
        <v>0.18226156983460895</v>
      </c>
      <c r="K40" s="245">
        <v>0.18314907147766893</v>
      </c>
      <c r="L40" s="444">
        <v>0.18342399088628442</v>
      </c>
      <c r="M40" s="561">
        <v>0.19118432215905223</v>
      </c>
      <c r="N40" s="561">
        <v>0.19521268327027119</v>
      </c>
      <c r="O40" s="561">
        <v>0.19836501486360575</v>
      </c>
      <c r="P40" s="444">
        <v>0.20121143409464759</v>
      </c>
      <c r="Q40" s="444">
        <f>'PL накопленные данные'!R5/AVERAGE(' BS'!O82,' BS'!P82)*4</f>
        <v>0.19249187770632736</v>
      </c>
      <c r="R40" s="243"/>
    </row>
    <row r="41" spans="1:18" x14ac:dyDescent="0.25">
      <c r="A41" s="24"/>
      <c r="B41" s="536"/>
      <c r="C41" s="491"/>
      <c r="D41" s="490"/>
      <c r="E41" s="490"/>
      <c r="F41" s="491"/>
      <c r="G41" s="491"/>
      <c r="H41" s="492"/>
      <c r="I41" s="490"/>
      <c r="J41" s="491"/>
      <c r="K41" s="491"/>
      <c r="L41" s="492"/>
      <c r="M41" s="567"/>
      <c r="N41" s="567"/>
      <c r="O41" s="567"/>
      <c r="P41" s="492"/>
      <c r="Q41" s="492"/>
    </row>
    <row r="42" spans="1:18" x14ac:dyDescent="0.25">
      <c r="A42" s="24"/>
      <c r="B42" s="435" t="s">
        <v>151</v>
      </c>
      <c r="C42" s="489" t="s">
        <v>150</v>
      </c>
      <c r="D42" s="449" t="s">
        <v>150</v>
      </c>
      <c r="E42" s="98">
        <v>7.8921302434220228E-2</v>
      </c>
      <c r="F42" s="244">
        <v>7.7208052349122633E-2</v>
      </c>
      <c r="G42" s="244">
        <v>8.3921384744080937E-2</v>
      </c>
      <c r="H42" s="190">
        <v>0.10316627179562678</v>
      </c>
      <c r="I42" s="98">
        <v>0.1107624195763386</v>
      </c>
      <c r="J42" s="244">
        <v>0.14089762933236652</v>
      </c>
      <c r="K42" s="244">
        <v>0.15179125526966342</v>
      </c>
      <c r="L42" s="190">
        <v>0.17903775784750922</v>
      </c>
      <c r="M42" s="562">
        <v>0.19328028493998364</v>
      </c>
      <c r="N42" s="562">
        <v>0.20395665397121585</v>
      </c>
      <c r="O42" s="562">
        <v>0.20183870760769093</v>
      </c>
      <c r="P42" s="190">
        <v>0.19828917925977296</v>
      </c>
      <c r="Q42" s="588">
        <f>SUM('PL по кварталам'!P7:P8)/AVERAGE(' BS'!O85:P85)*4</f>
        <v>0.19567986455811848</v>
      </c>
    </row>
    <row r="43" spans="1:18" x14ac:dyDescent="0.25">
      <c r="A43" s="24"/>
      <c r="B43" s="435" t="s">
        <v>155</v>
      </c>
      <c r="C43" s="190">
        <v>5.3351394541602669E-2</v>
      </c>
      <c r="D43" s="244">
        <v>7.1532119686806922E-2</v>
      </c>
      <c r="E43" s="98">
        <v>7.8921302434220228E-2</v>
      </c>
      <c r="F43" s="244">
        <v>7.8808422611570367E-2</v>
      </c>
      <c r="G43" s="244">
        <v>8.0912176582021877E-2</v>
      </c>
      <c r="H43" s="190">
        <v>8.269782459079629E-2</v>
      </c>
      <c r="I43" s="98">
        <v>0.1107624195763386</v>
      </c>
      <c r="J43" s="244">
        <v>0.12462706808523653</v>
      </c>
      <c r="K43" s="244">
        <v>0.12761819099784863</v>
      </c>
      <c r="L43" s="190">
        <v>0.14540340117243541</v>
      </c>
      <c r="M43" s="562">
        <v>0.19328028493998364</v>
      </c>
      <c r="N43" s="562">
        <v>0.19298396449258406</v>
      </c>
      <c r="O43" s="562">
        <v>0.19926911414396786</v>
      </c>
      <c r="P43" s="190">
        <v>0.19998092557223454</v>
      </c>
      <c r="Q43" s="588">
        <f>SUM('PL накопленные данные'!R7:R8)/AVERAGE(' BS'!O85,' BS'!P85)*4</f>
        <v>0.19567986455811848</v>
      </c>
    </row>
    <row r="44" spans="1:18" x14ac:dyDescent="0.25">
      <c r="A44" s="24"/>
      <c r="B44" s="434"/>
      <c r="C44" s="494"/>
      <c r="D44" s="493"/>
      <c r="E44" s="493"/>
      <c r="F44" s="494"/>
      <c r="G44" s="494"/>
      <c r="H44" s="495"/>
      <c r="I44" s="493"/>
      <c r="J44" s="494"/>
      <c r="K44" s="494"/>
      <c r="L44" s="495"/>
      <c r="M44" s="494"/>
      <c r="N44" s="494"/>
      <c r="O44" s="494"/>
      <c r="P44" s="495"/>
      <c r="Q44" s="495"/>
    </row>
    <row r="45" spans="1:18" x14ac:dyDescent="0.25">
      <c r="A45" s="24"/>
      <c r="B45" s="534" t="s">
        <v>178</v>
      </c>
      <c r="C45" s="532" t="s">
        <v>150</v>
      </c>
      <c r="D45" s="245" t="s">
        <v>150</v>
      </c>
      <c r="E45" s="443">
        <v>0.16294899001813987</v>
      </c>
      <c r="F45" s="245">
        <v>0.16764873117476267</v>
      </c>
      <c r="G45" s="245">
        <v>0.16042199606932755</v>
      </c>
      <c r="H45" s="444">
        <v>0.18107290995035855</v>
      </c>
      <c r="I45" s="443">
        <v>0.18666003316995985</v>
      </c>
      <c r="J45" s="245">
        <v>0.19224810659055261</v>
      </c>
      <c r="K45" s="245">
        <v>0.19370129039603179</v>
      </c>
      <c r="L45" s="444">
        <v>0.19722172384088418</v>
      </c>
      <c r="M45" s="561">
        <v>0.19921174943142808</v>
      </c>
      <c r="N45" s="561">
        <v>0.20725299747054929</v>
      </c>
      <c r="O45" s="561">
        <v>0.20733365759720471</v>
      </c>
      <c r="P45" s="444">
        <v>0.21616706918596393</v>
      </c>
      <c r="Q45" s="444">
        <f>'PL по кварталам'!P6/AVERAGE(' BS'!O19:P19)*4</f>
        <v>0.2102159663854376</v>
      </c>
    </row>
    <row r="46" spans="1:18" x14ac:dyDescent="0.25">
      <c r="A46" s="24"/>
      <c r="B46" s="535" t="s">
        <v>179</v>
      </c>
      <c r="C46" s="532">
        <v>0.13069183938832912</v>
      </c>
      <c r="D46" s="245">
        <v>0.15296347524497281</v>
      </c>
      <c r="E46" s="443">
        <v>0.16294899001813987</v>
      </c>
      <c r="F46" s="245">
        <v>0.16447656504667507</v>
      </c>
      <c r="G46" s="245">
        <v>0.16015177713264142</v>
      </c>
      <c r="H46" s="444">
        <v>0.16089333588117671</v>
      </c>
      <c r="I46" s="443">
        <v>0.18666003316995985</v>
      </c>
      <c r="J46" s="245">
        <v>0.19042216361293537</v>
      </c>
      <c r="K46" s="245">
        <v>0.18903211024820538</v>
      </c>
      <c r="L46" s="444">
        <v>0.19724100359507959</v>
      </c>
      <c r="M46" s="561">
        <v>0.19921174943142808</v>
      </c>
      <c r="N46" s="561">
        <v>0.20338335514851452</v>
      </c>
      <c r="O46" s="561">
        <v>0.20669205985930009</v>
      </c>
      <c r="P46" s="444">
        <v>0.20790748547947147</v>
      </c>
      <c r="Q46" s="444">
        <f>'PL накопленные данные'!R6/AVERAGE(' BS'!$O19,' BS'!P19)*4</f>
        <v>0.2102159663854376</v>
      </c>
    </row>
    <row r="47" spans="1:18" x14ac:dyDescent="0.25">
      <c r="A47" s="24"/>
      <c r="B47" s="434"/>
      <c r="C47" s="494"/>
      <c r="D47" s="493"/>
      <c r="E47" s="493"/>
      <c r="F47" s="494"/>
      <c r="G47" s="494"/>
      <c r="H47" s="495"/>
      <c r="I47" s="493"/>
      <c r="J47" s="494"/>
      <c r="K47" s="494"/>
      <c r="L47" s="495"/>
      <c r="M47" s="494"/>
      <c r="N47" s="494"/>
      <c r="O47" s="494"/>
      <c r="P47" s="495"/>
      <c r="Q47" s="495"/>
    </row>
    <row r="48" spans="1:18" x14ac:dyDescent="0.25">
      <c r="A48" s="24"/>
      <c r="B48" s="435" t="s">
        <v>152</v>
      </c>
      <c r="C48" s="489" t="s">
        <v>150</v>
      </c>
      <c r="D48" s="449" t="s">
        <v>150</v>
      </c>
      <c r="E48" s="98">
        <v>0.16870869219313947</v>
      </c>
      <c r="F48" s="244">
        <v>0.17364273063397342</v>
      </c>
      <c r="G48" s="244">
        <v>0.16521965242875541</v>
      </c>
      <c r="H48" s="190">
        <v>0.18787646431353933</v>
      </c>
      <c r="I48" s="98">
        <v>0.19693199573935255</v>
      </c>
      <c r="J48" s="244">
        <v>0.19783629634756306</v>
      </c>
      <c r="K48" s="244">
        <v>0.19891958143967031</v>
      </c>
      <c r="L48" s="190">
        <v>0.19607434537804</v>
      </c>
      <c r="M48" s="562">
        <v>0.19730835395766549</v>
      </c>
      <c r="N48" s="562">
        <v>0.204023295070206</v>
      </c>
      <c r="O48" s="562">
        <v>0.20216729046248952</v>
      </c>
      <c r="P48" s="190">
        <v>0.21908604247753485</v>
      </c>
      <c r="Q48" s="190">
        <v>0.21514605950125684</v>
      </c>
    </row>
    <row r="49" spans="1:17" x14ac:dyDescent="0.25">
      <c r="A49" s="24"/>
      <c r="B49" s="437" t="s">
        <v>153</v>
      </c>
      <c r="C49" s="496">
        <v>0.14200330819519955</v>
      </c>
      <c r="D49" s="498">
        <v>0.16126615469085295</v>
      </c>
      <c r="E49" s="497">
        <v>0.16870869219313947</v>
      </c>
      <c r="F49" s="498">
        <v>0.17074941966529847</v>
      </c>
      <c r="G49" s="498">
        <v>0.16673864267451108</v>
      </c>
      <c r="H49" s="496">
        <v>0.17121496997127481</v>
      </c>
      <c r="I49" s="497">
        <v>0.19693199573935258</v>
      </c>
      <c r="J49" s="498">
        <v>0.19757906646755238</v>
      </c>
      <c r="K49" s="498">
        <v>0.19742627276621735</v>
      </c>
      <c r="L49" s="496">
        <v>0.20514331465349955</v>
      </c>
      <c r="M49" s="498">
        <v>0.19730835395766552</v>
      </c>
      <c r="N49" s="498">
        <v>0.20056691404128502</v>
      </c>
      <c r="O49" s="498">
        <v>0.20231050643920179</v>
      </c>
      <c r="P49" s="496">
        <v>0.20463367409123409</v>
      </c>
      <c r="Q49" s="496">
        <v>0.21514605950125684</v>
      </c>
    </row>
    <row r="50" spans="1:17" x14ac:dyDescent="0.25">
      <c r="A50" s="2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</row>
    <row r="52" spans="1:17" x14ac:dyDescent="0.25">
      <c r="N52" s="267"/>
      <c r="P52" s="267"/>
      <c r="Q52" s="267"/>
    </row>
    <row r="53" spans="1:17" x14ac:dyDescent="0.25">
      <c r="P53" s="268"/>
      <c r="Q53" s="268"/>
    </row>
  </sheetData>
  <mergeCells count="3">
    <mergeCell ref="E2:H2"/>
    <mergeCell ref="I2:L2"/>
    <mergeCell ref="M2:P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8DDA-4531-E044-A2CE-F9868AFB05A2}">
  <sheetPr>
    <tabColor theme="9" tint="0.59999389629810485"/>
  </sheetPr>
  <dimension ref="A1:U49"/>
  <sheetViews>
    <sheetView showGridLines="0" tabSelected="1" zoomScale="80" zoomScaleNormal="80" workbookViewId="0">
      <selection activeCell="P52" sqref="P52"/>
    </sheetView>
  </sheetViews>
  <sheetFormatPr defaultColWidth="11" defaultRowHeight="15.75" x14ac:dyDescent="0.25"/>
  <cols>
    <col min="1" max="1" width="3.875" style="144" customWidth="1"/>
    <col min="2" max="2" width="42.5" style="144" customWidth="1"/>
    <col min="3" max="3" width="11.125" style="144" customWidth="1"/>
    <col min="4" max="4" width="13" style="144" customWidth="1"/>
    <col min="5" max="5" width="13.375" style="144" customWidth="1"/>
    <col min="6" max="6" width="13" style="144" customWidth="1"/>
    <col min="7" max="7" width="13.5" style="144" customWidth="1"/>
    <col min="8" max="16" width="12.375" style="144" customWidth="1"/>
    <col min="17" max="17" width="11" style="24"/>
  </cols>
  <sheetData>
    <row r="1" spans="1:21" x14ac:dyDescent="0.25">
      <c r="A1" s="41"/>
      <c r="B1" s="41"/>
      <c r="C1" s="41"/>
      <c r="D1" s="65"/>
      <c r="E1" s="65"/>
      <c r="F1" s="65"/>
      <c r="G1" s="66"/>
      <c r="H1" s="46"/>
      <c r="I1" s="46"/>
      <c r="J1" s="46"/>
      <c r="K1" s="46"/>
      <c r="L1" s="237"/>
      <c r="M1" s="77"/>
      <c r="N1" s="77"/>
      <c r="O1" s="238"/>
      <c r="P1" s="66"/>
    </row>
    <row r="2" spans="1:21" x14ac:dyDescent="0.25">
      <c r="A2" s="41"/>
      <c r="B2" s="41"/>
      <c r="C2" s="41"/>
      <c r="D2" s="165">
        <v>2020</v>
      </c>
      <c r="E2" s="165">
        <v>2021</v>
      </c>
      <c r="F2" s="165">
        <v>2022</v>
      </c>
      <c r="G2" s="47">
        <v>2023</v>
      </c>
      <c r="H2" s="614">
        <v>2024</v>
      </c>
      <c r="I2" s="614"/>
      <c r="J2" s="614"/>
      <c r="K2" s="614"/>
      <c r="L2" s="615">
        <v>2025</v>
      </c>
      <c r="M2" s="614"/>
      <c r="N2" s="614"/>
      <c r="O2" s="616"/>
      <c r="P2" s="47">
        <v>2026</v>
      </c>
    </row>
    <row r="3" spans="1:21" x14ac:dyDescent="0.25">
      <c r="A3" s="139" t="s">
        <v>131</v>
      </c>
      <c r="B3" s="45"/>
      <c r="C3" s="45"/>
      <c r="D3" s="80"/>
      <c r="E3" s="80"/>
      <c r="F3" s="80"/>
      <c r="G3" s="81"/>
      <c r="H3" s="49" t="s">
        <v>1</v>
      </c>
      <c r="I3" s="49" t="s">
        <v>93</v>
      </c>
      <c r="J3" s="49" t="s">
        <v>94</v>
      </c>
      <c r="K3" s="49" t="s">
        <v>95</v>
      </c>
      <c r="L3" s="163" t="s">
        <v>154</v>
      </c>
      <c r="M3" s="49" t="s">
        <v>93</v>
      </c>
      <c r="N3" s="49" t="s">
        <v>94</v>
      </c>
      <c r="O3" s="140" t="s">
        <v>95</v>
      </c>
      <c r="P3" s="81" t="s">
        <v>154</v>
      </c>
    </row>
    <row r="4" spans="1:21" x14ac:dyDescent="0.25">
      <c r="D4" s="191"/>
      <c r="E4" s="191"/>
      <c r="F4" s="191"/>
      <c r="G4" s="26"/>
      <c r="H4" s="191"/>
      <c r="I4" s="191"/>
      <c r="J4" s="191"/>
      <c r="K4" s="191"/>
      <c r="L4" s="26"/>
      <c r="M4" s="26"/>
      <c r="N4" s="26"/>
      <c r="O4" s="26"/>
      <c r="P4" s="26"/>
    </row>
    <row r="5" spans="1:21" x14ac:dyDescent="0.25">
      <c r="D5" s="191"/>
      <c r="E5" s="191"/>
      <c r="F5" s="191"/>
      <c r="G5" s="26"/>
      <c r="H5" s="191"/>
      <c r="I5" s="191"/>
      <c r="J5" s="191"/>
      <c r="K5" s="191"/>
      <c r="L5" s="26"/>
      <c r="M5" s="26"/>
      <c r="N5" s="26"/>
      <c r="O5" s="26"/>
      <c r="P5" s="26"/>
    </row>
    <row r="6" spans="1:21" s="25" customFormat="1" x14ac:dyDescent="0.25">
      <c r="A6" s="9"/>
      <c r="B6" s="9"/>
      <c r="C6" s="9"/>
      <c r="D6" s="19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21" x14ac:dyDescent="0.25">
      <c r="A7" s="503"/>
      <c r="B7" s="504" t="s">
        <v>100</v>
      </c>
      <c r="C7" s="504"/>
      <c r="D7" s="505">
        <v>117603.898</v>
      </c>
      <c r="E7" s="505">
        <v>205613.13299999997</v>
      </c>
      <c r="F7" s="505">
        <v>255766.99599999998</v>
      </c>
      <c r="G7" s="505">
        <v>339116.73499999999</v>
      </c>
      <c r="H7" s="505">
        <v>359281.16400000005</v>
      </c>
      <c r="I7" s="506">
        <v>378118.37</v>
      </c>
      <c r="J7" s="506">
        <v>401121.31300000002</v>
      </c>
      <c r="K7" s="507">
        <v>382397.44799999997</v>
      </c>
      <c r="L7" s="505">
        <v>371960</v>
      </c>
      <c r="M7" s="506">
        <v>361915</v>
      </c>
      <c r="N7" s="506">
        <v>345008</v>
      </c>
      <c r="O7" s="508">
        <v>340424</v>
      </c>
      <c r="P7" s="508">
        <v>325673</v>
      </c>
      <c r="Q7" s="23"/>
      <c r="R7" s="1"/>
      <c r="S7" s="1"/>
      <c r="T7" s="1"/>
      <c r="U7" s="1"/>
    </row>
    <row r="8" spans="1:21" x14ac:dyDescent="0.25">
      <c r="A8" s="509"/>
      <c r="B8" s="510"/>
      <c r="C8" s="510"/>
      <c r="D8" s="27"/>
      <c r="E8" s="28"/>
      <c r="F8" s="28"/>
      <c r="G8" s="28"/>
      <c r="H8" s="28"/>
      <c r="I8" s="239"/>
      <c r="J8" s="239">
        <v>0</v>
      </c>
      <c r="K8" s="511"/>
      <c r="L8" s="28"/>
      <c r="M8" s="29"/>
      <c r="N8" s="29"/>
      <c r="O8" s="193"/>
      <c r="P8" s="193"/>
      <c r="Q8" s="23"/>
      <c r="R8" s="1"/>
      <c r="S8" s="1"/>
      <c r="T8" s="1"/>
      <c r="U8" s="1"/>
    </row>
    <row r="9" spans="1:21" x14ac:dyDescent="0.25">
      <c r="A9" s="5" t="s">
        <v>97</v>
      </c>
      <c r="B9" s="233"/>
      <c r="C9" s="233"/>
      <c r="D9" s="27">
        <v>99647.413</v>
      </c>
      <c r="E9" s="28">
        <v>185613.94</v>
      </c>
      <c r="F9" s="28">
        <v>201847.459</v>
      </c>
      <c r="G9" s="28">
        <v>285852.46299999999</v>
      </c>
      <c r="H9" s="28">
        <v>298241.11200000002</v>
      </c>
      <c r="I9" s="239">
        <v>310647.53499999997</v>
      </c>
      <c r="J9" s="239">
        <v>327594.636</v>
      </c>
      <c r="K9" s="511">
        <v>311439.353</v>
      </c>
      <c r="L9" s="28">
        <v>290030</v>
      </c>
      <c r="M9" s="29">
        <v>296370</v>
      </c>
      <c r="N9" s="29">
        <v>287167</v>
      </c>
      <c r="O9" s="193">
        <v>289904</v>
      </c>
      <c r="P9" s="193">
        <v>274704</v>
      </c>
      <c r="Q9" s="23"/>
      <c r="R9" s="1"/>
      <c r="S9" s="1"/>
      <c r="T9" s="1"/>
      <c r="U9" s="1"/>
    </row>
    <row r="10" spans="1:21" x14ac:dyDescent="0.25">
      <c r="A10" s="512"/>
      <c r="B10" s="513" t="s">
        <v>128</v>
      </c>
      <c r="C10" s="513"/>
      <c r="D10" s="64">
        <v>-2838.59</v>
      </c>
      <c r="E10" s="64">
        <v>-6272.9750000000004</v>
      </c>
      <c r="F10" s="64">
        <v>-6121.1310000000003</v>
      </c>
      <c r="G10" s="64">
        <v>-8121.79</v>
      </c>
      <c r="H10" s="64">
        <v>-8163.1040000000003</v>
      </c>
      <c r="I10" s="240">
        <v>-7620.1180000000004</v>
      </c>
      <c r="J10" s="240">
        <v>-7564.2139999999999</v>
      </c>
      <c r="K10" s="514">
        <v>-7894.1859999999997</v>
      </c>
      <c r="L10" s="64">
        <v>-7199</v>
      </c>
      <c r="M10" s="568">
        <v>-9313</v>
      </c>
      <c r="N10" s="568">
        <v>-8415</v>
      </c>
      <c r="O10" s="194">
        <v>-8297</v>
      </c>
      <c r="P10" s="194">
        <v>-8435</v>
      </c>
      <c r="Q10" s="23"/>
      <c r="R10" s="1"/>
      <c r="S10" s="1"/>
      <c r="T10" s="1"/>
      <c r="U10" s="1"/>
    </row>
    <row r="11" spans="1:21" x14ac:dyDescent="0.25">
      <c r="A11" s="5"/>
      <c r="B11" s="233" t="s">
        <v>101</v>
      </c>
      <c r="C11" s="233"/>
      <c r="D11" s="27">
        <v>96808.823000000004</v>
      </c>
      <c r="E11" s="28">
        <v>179340.965</v>
      </c>
      <c r="F11" s="28">
        <v>195726.32800000001</v>
      </c>
      <c r="G11" s="28">
        <v>277730.67300000001</v>
      </c>
      <c r="H11" s="28">
        <v>290078.00800000003</v>
      </c>
      <c r="I11" s="239">
        <v>303027.41699999996</v>
      </c>
      <c r="J11" s="239">
        <v>320030.42200000002</v>
      </c>
      <c r="K11" s="239">
        <v>303545.16700000002</v>
      </c>
      <c r="L11" s="28">
        <v>282831</v>
      </c>
      <c r="M11" s="29">
        <v>287057</v>
      </c>
      <c r="N11" s="29">
        <f>N9+N10</f>
        <v>278752</v>
      </c>
      <c r="O11" s="193">
        <f>O9+O10</f>
        <v>281607</v>
      </c>
      <c r="P11" s="193">
        <f>P9+P10</f>
        <v>266269</v>
      </c>
      <c r="Q11" s="23"/>
      <c r="R11" s="1"/>
      <c r="S11" s="1"/>
      <c r="T11" s="1"/>
      <c r="U11" s="1"/>
    </row>
    <row r="12" spans="1:21" x14ac:dyDescent="0.25">
      <c r="A12" s="5"/>
      <c r="B12" s="233"/>
      <c r="C12" s="233"/>
      <c r="D12" s="27"/>
      <c r="E12" s="28"/>
      <c r="F12" s="28"/>
      <c r="G12" s="28"/>
      <c r="H12" s="28"/>
      <c r="I12" s="239"/>
      <c r="J12" s="239"/>
      <c r="K12" s="511"/>
      <c r="L12" s="28"/>
      <c r="M12" s="29"/>
      <c r="N12" s="29"/>
      <c r="O12" s="193"/>
      <c r="P12" s="193"/>
      <c r="Q12" s="23"/>
      <c r="R12" s="1"/>
      <c r="S12" s="1"/>
      <c r="T12" s="1"/>
      <c r="U12" s="1"/>
    </row>
    <row r="13" spans="1:21" x14ac:dyDescent="0.25">
      <c r="A13" s="5" t="s">
        <v>98</v>
      </c>
      <c r="B13" s="233"/>
      <c r="C13" s="233"/>
      <c r="D13" s="27">
        <v>6196.9780000000001</v>
      </c>
      <c r="E13" s="28">
        <v>8337.9439999999995</v>
      </c>
      <c r="F13" s="28">
        <v>24617.103999999999</v>
      </c>
      <c r="G13" s="28">
        <v>19030.842000000001</v>
      </c>
      <c r="H13" s="28">
        <v>22485.113000000001</v>
      </c>
      <c r="I13" s="239">
        <v>24854.645</v>
      </c>
      <c r="J13" s="239">
        <v>27462.560000000001</v>
      </c>
      <c r="K13" s="511">
        <v>31047.871999999999</v>
      </c>
      <c r="L13" s="28">
        <v>32654</v>
      </c>
      <c r="M13" s="29">
        <v>16547</v>
      </c>
      <c r="N13" s="29">
        <v>15109</v>
      </c>
      <c r="O13" s="193">
        <v>14046</v>
      </c>
      <c r="P13" s="193">
        <v>16102</v>
      </c>
      <c r="Q13" s="23"/>
      <c r="R13" s="1"/>
      <c r="S13" s="1"/>
      <c r="T13" s="1"/>
      <c r="U13" s="1"/>
    </row>
    <row r="14" spans="1:21" x14ac:dyDescent="0.25">
      <c r="A14" s="512"/>
      <c r="B14" s="513" t="s">
        <v>127</v>
      </c>
      <c r="C14" s="513"/>
      <c r="D14" s="64">
        <v>-1838.5429999999999</v>
      </c>
      <c r="E14" s="64">
        <v>-3482.9659999999999</v>
      </c>
      <c r="F14" s="64">
        <v>-7072.1790000000001</v>
      </c>
      <c r="G14" s="64">
        <v>-6554.0789999999997</v>
      </c>
      <c r="H14" s="64">
        <v>-7710.9769999999999</v>
      </c>
      <c r="I14" s="240">
        <v>-7963.1710000000003</v>
      </c>
      <c r="J14" s="240">
        <v>-7219.5919999999996</v>
      </c>
      <c r="K14" s="514">
        <v>-8755.81</v>
      </c>
      <c r="L14" s="64">
        <v>-8274</v>
      </c>
      <c r="M14" s="568">
        <v>-5135</v>
      </c>
      <c r="N14" s="568">
        <v>-3889</v>
      </c>
      <c r="O14" s="194">
        <v>-4659</v>
      </c>
      <c r="P14" s="194">
        <v>-4349</v>
      </c>
      <c r="Q14" s="23"/>
      <c r="R14" s="1"/>
      <c r="S14" s="1"/>
      <c r="T14" s="1"/>
      <c r="U14" s="1"/>
    </row>
    <row r="15" spans="1:21" x14ac:dyDescent="0.25">
      <c r="A15" s="5"/>
      <c r="B15" s="233" t="s">
        <v>101</v>
      </c>
      <c r="C15" s="233"/>
      <c r="D15" s="27">
        <v>4358.4350000000004</v>
      </c>
      <c r="E15" s="28">
        <v>4854.9779999999992</v>
      </c>
      <c r="F15" s="28">
        <v>17544.924999999999</v>
      </c>
      <c r="G15" s="28">
        <v>12476.763000000001</v>
      </c>
      <c r="H15" s="28">
        <v>14774.136000000002</v>
      </c>
      <c r="I15" s="239">
        <v>16891.474000000002</v>
      </c>
      <c r="J15" s="239">
        <v>20242.968000000001</v>
      </c>
      <c r="K15" s="239">
        <v>22292.061999999998</v>
      </c>
      <c r="L15" s="28">
        <v>24380</v>
      </c>
      <c r="M15" s="29">
        <v>11412</v>
      </c>
      <c r="N15" s="29">
        <f t="shared" ref="N15:O15" si="0">N13+N14</f>
        <v>11220</v>
      </c>
      <c r="O15" s="193">
        <f t="shared" si="0"/>
        <v>9387</v>
      </c>
      <c r="P15" s="193">
        <f t="shared" ref="P15" si="1">P13+P14</f>
        <v>11753</v>
      </c>
      <c r="Q15" s="23"/>
      <c r="R15" s="1"/>
      <c r="S15" s="1"/>
      <c r="T15" s="1"/>
      <c r="U15" s="1"/>
    </row>
    <row r="16" spans="1:21" x14ac:dyDescent="0.25">
      <c r="A16" s="5"/>
      <c r="B16" s="233"/>
      <c r="C16" s="233"/>
      <c r="D16" s="30"/>
      <c r="E16" s="28"/>
      <c r="F16" s="28"/>
      <c r="G16" s="28"/>
      <c r="H16" s="28"/>
      <c r="I16" s="239"/>
      <c r="J16" s="239"/>
      <c r="K16" s="511"/>
      <c r="L16" s="28"/>
      <c r="M16" s="29"/>
      <c r="N16" s="29"/>
      <c r="O16" s="193"/>
      <c r="P16" s="193"/>
      <c r="Q16" s="23"/>
      <c r="R16" s="1"/>
      <c r="S16" s="1"/>
      <c r="T16" s="1"/>
      <c r="U16" s="1"/>
    </row>
    <row r="17" spans="1:21" x14ac:dyDescent="0.25">
      <c r="A17" s="5" t="s">
        <v>99</v>
      </c>
      <c r="B17" s="233"/>
      <c r="C17" s="233"/>
      <c r="D17" s="30">
        <v>11759.507</v>
      </c>
      <c r="E17" s="28">
        <v>11661.249</v>
      </c>
      <c r="F17" s="28">
        <v>29302.433000000001</v>
      </c>
      <c r="G17" s="28">
        <v>34233.43</v>
      </c>
      <c r="H17" s="28">
        <v>38554.938999999998</v>
      </c>
      <c r="I17" s="239">
        <v>42616.163</v>
      </c>
      <c r="J17" s="239">
        <v>46064.116999999998</v>
      </c>
      <c r="K17" s="511">
        <v>39910.222999999998</v>
      </c>
      <c r="L17" s="28">
        <v>49276</v>
      </c>
      <c r="M17" s="29">
        <v>48998</v>
      </c>
      <c r="N17" s="29">
        <v>42732</v>
      </c>
      <c r="O17" s="193">
        <v>36474</v>
      </c>
      <c r="P17" s="193">
        <v>34867</v>
      </c>
      <c r="Q17" s="23"/>
      <c r="R17" s="1"/>
      <c r="S17" s="1"/>
      <c r="T17" s="1"/>
      <c r="U17" s="1"/>
    </row>
    <row r="18" spans="1:21" x14ac:dyDescent="0.25">
      <c r="A18" s="512"/>
      <c r="B18" s="513" t="s">
        <v>127</v>
      </c>
      <c r="C18" s="513"/>
      <c r="D18" s="67">
        <v>-9610.7199999999993</v>
      </c>
      <c r="E18" s="64">
        <v>-9116.3799999999992</v>
      </c>
      <c r="F18" s="64">
        <v>-21328.457999999999</v>
      </c>
      <c r="G18" s="64">
        <v>-24285.596000000001</v>
      </c>
      <c r="H18" s="64">
        <v>-27514.013999999999</v>
      </c>
      <c r="I18" s="240">
        <v>-30345.327000000001</v>
      </c>
      <c r="J18" s="240">
        <v>-33580.747000000003</v>
      </c>
      <c r="K18" s="514">
        <v>-29283.852999999999</v>
      </c>
      <c r="L18" s="64">
        <v>-36324</v>
      </c>
      <c r="M18" s="568">
        <v>-36459</v>
      </c>
      <c r="N18" s="568">
        <v>-32928</v>
      </c>
      <c r="O18" s="194">
        <v>-26506</v>
      </c>
      <c r="P18" s="194">
        <v>-24289</v>
      </c>
      <c r="Q18" s="23"/>
      <c r="R18" s="1"/>
      <c r="S18" s="1"/>
      <c r="T18" s="1"/>
      <c r="U18" s="1"/>
    </row>
    <row r="19" spans="1:21" x14ac:dyDescent="0.25">
      <c r="A19" s="5"/>
      <c r="B19" s="233" t="s">
        <v>101</v>
      </c>
      <c r="C19" s="233"/>
      <c r="D19" s="30">
        <v>2148.7870000000003</v>
      </c>
      <c r="E19" s="28">
        <v>2544.8690000000006</v>
      </c>
      <c r="F19" s="28">
        <v>7973.9750000000022</v>
      </c>
      <c r="G19" s="28">
        <v>9947.8339999999989</v>
      </c>
      <c r="H19" s="28">
        <v>11040.924999999999</v>
      </c>
      <c r="I19" s="239">
        <v>12270.835999999999</v>
      </c>
      <c r="J19" s="239">
        <v>12483.369999999995</v>
      </c>
      <c r="K19" s="239">
        <v>10626.369999999999</v>
      </c>
      <c r="L19" s="28">
        <v>12952</v>
      </c>
      <c r="M19" s="29">
        <v>12539</v>
      </c>
      <c r="N19" s="29">
        <f>N17+N18</f>
        <v>9804</v>
      </c>
      <c r="O19" s="193">
        <f>O17+O18</f>
        <v>9968</v>
      </c>
      <c r="P19" s="193">
        <f>P17+P18</f>
        <v>10578</v>
      </c>
      <c r="Q19" s="23"/>
      <c r="R19" s="1"/>
      <c r="S19" s="1"/>
      <c r="T19" s="1"/>
      <c r="U19" s="1"/>
    </row>
    <row r="20" spans="1:21" x14ac:dyDescent="0.25">
      <c r="A20" s="5"/>
      <c r="B20" s="233"/>
      <c r="C20" s="233"/>
      <c r="D20" s="30"/>
      <c r="E20" s="28"/>
      <c r="F20" s="28"/>
      <c r="G20" s="28"/>
      <c r="H20" s="28"/>
      <c r="I20" s="239"/>
      <c r="J20" s="239"/>
      <c r="K20" s="511"/>
      <c r="L20" s="28"/>
      <c r="M20" s="29"/>
      <c r="N20" s="29"/>
      <c r="O20" s="193"/>
      <c r="P20" s="193"/>
      <c r="Q20" s="23"/>
      <c r="R20" s="1"/>
      <c r="S20" s="1"/>
      <c r="T20" s="1"/>
      <c r="U20" s="1"/>
    </row>
    <row r="21" spans="1:21" x14ac:dyDescent="0.25">
      <c r="A21" s="5" t="s">
        <v>102</v>
      </c>
      <c r="B21" s="233"/>
      <c r="C21" s="233"/>
      <c r="D21" s="30">
        <v>117603.898</v>
      </c>
      <c r="E21" s="28">
        <v>205613.133</v>
      </c>
      <c r="F21" s="28">
        <v>255766.99599999998</v>
      </c>
      <c r="G21" s="28">
        <v>339116.73499999999</v>
      </c>
      <c r="H21" s="28">
        <v>359281.16400000005</v>
      </c>
      <c r="I21" s="239">
        <v>378118.34299999999</v>
      </c>
      <c r="J21" s="239">
        <v>401121.31299999997</v>
      </c>
      <c r="K21" s="511">
        <v>382397.44799999997</v>
      </c>
      <c r="L21" s="28">
        <v>371960</v>
      </c>
      <c r="M21" s="29">
        <v>361915</v>
      </c>
      <c r="N21" s="29">
        <f t="shared" ref="N21:O21" si="2">N9+N13+N17</f>
        <v>345008</v>
      </c>
      <c r="O21" s="193">
        <f t="shared" si="2"/>
        <v>340424</v>
      </c>
      <c r="P21" s="193">
        <f t="shared" ref="P21" si="3">P9+P13+P17</f>
        <v>325673</v>
      </c>
      <c r="Q21" s="23"/>
      <c r="R21" s="1"/>
      <c r="S21" s="1"/>
      <c r="T21" s="1"/>
      <c r="U21" s="1"/>
    </row>
    <row r="22" spans="1:21" x14ac:dyDescent="0.25">
      <c r="A22" s="516"/>
      <c r="B22" s="517" t="s">
        <v>127</v>
      </c>
      <c r="C22" s="517"/>
      <c r="D22" s="518">
        <v>-14287.852999999999</v>
      </c>
      <c r="E22" s="519">
        <v>-18872.321</v>
      </c>
      <c r="F22" s="519">
        <v>-34521.767999999996</v>
      </c>
      <c r="G22" s="519">
        <v>-38961.464999999997</v>
      </c>
      <c r="H22" s="519">
        <v>-43388.095000000001</v>
      </c>
      <c r="I22" s="520">
        <v>-45928.616000000002</v>
      </c>
      <c r="J22" s="520">
        <v>-48364.553</v>
      </c>
      <c r="K22" s="520">
        <v>-45933.849000000002</v>
      </c>
      <c r="L22" s="519">
        <v>-51797</v>
      </c>
      <c r="M22" s="569">
        <v>-50907</v>
      </c>
      <c r="N22" s="569">
        <f>N10+N14+N18</f>
        <v>-45232</v>
      </c>
      <c r="O22" s="521">
        <f>O10+O14+O18</f>
        <v>-39462</v>
      </c>
      <c r="P22" s="521">
        <f>P10+P14+P18</f>
        <v>-37073</v>
      </c>
      <c r="Q22" s="23"/>
      <c r="R22" s="1"/>
      <c r="S22" s="1"/>
      <c r="T22" s="1"/>
      <c r="U22" s="1"/>
    </row>
    <row r="23" spans="1:21" x14ac:dyDescent="0.25">
      <c r="A23" s="522"/>
      <c r="B23" s="523" t="s">
        <v>101</v>
      </c>
      <c r="C23" s="523"/>
      <c r="D23" s="524">
        <v>103316.045</v>
      </c>
      <c r="E23" s="524">
        <v>186740.81199999998</v>
      </c>
      <c r="F23" s="525">
        <v>221245.228</v>
      </c>
      <c r="G23" s="524">
        <v>300155.27</v>
      </c>
      <c r="H23" s="526">
        <v>315893.06900000002</v>
      </c>
      <c r="I23" s="526">
        <v>332189.75400000002</v>
      </c>
      <c r="J23" s="526">
        <v>352756.76</v>
      </c>
      <c r="K23" s="526">
        <v>336463.59899999999</v>
      </c>
      <c r="L23" s="525">
        <v>320163</v>
      </c>
      <c r="M23" s="526">
        <v>311008</v>
      </c>
      <c r="N23" s="526">
        <f>N21+N22</f>
        <v>299776</v>
      </c>
      <c r="O23" s="527">
        <f>O21+O22</f>
        <v>300962</v>
      </c>
      <c r="P23" s="527">
        <f>P21+P22</f>
        <v>288600</v>
      </c>
      <c r="Q23" s="23"/>
      <c r="R23" s="1"/>
      <c r="S23" s="1"/>
      <c r="T23" s="1"/>
      <c r="U23" s="1"/>
    </row>
    <row r="24" spans="1:21" x14ac:dyDescent="0.25">
      <c r="A24" s="9"/>
      <c r="D24" s="195"/>
      <c r="E24" s="29"/>
      <c r="F24" s="29"/>
      <c r="G24" s="29"/>
      <c r="H24" s="29"/>
      <c r="I24" s="29"/>
      <c r="J24" s="29"/>
      <c r="K24" s="26"/>
      <c r="L24" s="29"/>
      <c r="M24" s="29"/>
      <c r="N24" s="29"/>
      <c r="O24" s="29"/>
      <c r="P24" s="29"/>
      <c r="Q24" s="23"/>
      <c r="R24" s="1"/>
      <c r="S24" s="1"/>
      <c r="T24" s="1"/>
      <c r="U24" s="1"/>
    </row>
    <row r="25" spans="1:21" x14ac:dyDescent="0.25">
      <c r="A25" s="9"/>
      <c r="D25" s="195"/>
      <c r="E25" s="29"/>
      <c r="F25" s="29"/>
      <c r="G25" s="29"/>
      <c r="H25" s="29"/>
      <c r="I25" s="29"/>
      <c r="J25" s="29"/>
      <c r="K25" s="26"/>
      <c r="L25" s="29"/>
      <c r="M25" s="29"/>
      <c r="N25" s="29"/>
      <c r="O25" s="29"/>
      <c r="P25" s="29"/>
      <c r="Q25" s="23"/>
      <c r="R25" s="1"/>
      <c r="S25" s="1"/>
      <c r="T25" s="1"/>
      <c r="U25" s="1"/>
    </row>
    <row r="26" spans="1:21" s="25" customFormat="1" x14ac:dyDescent="0.25">
      <c r="A26" s="9"/>
      <c r="B26" s="9"/>
      <c r="C26" s="9"/>
      <c r="D26" s="195"/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/>
      <c r="K26" s="26"/>
      <c r="L26" s="195"/>
      <c r="M26" s="195"/>
      <c r="N26" s="195"/>
      <c r="O26" s="195"/>
      <c r="P26" s="195"/>
      <c r="Q26" s="145"/>
      <c r="R26" s="145"/>
      <c r="S26" s="145"/>
      <c r="T26" s="145"/>
      <c r="U26" s="145"/>
    </row>
    <row r="27" spans="1:21" x14ac:dyDescent="0.25">
      <c r="A27" s="503"/>
      <c r="B27" s="504" t="s">
        <v>156</v>
      </c>
      <c r="C27" s="504"/>
      <c r="D27" s="515">
        <v>30290.326999999997</v>
      </c>
      <c r="E27" s="505">
        <v>34758.522000000004</v>
      </c>
      <c r="F27" s="505">
        <v>23098.91</v>
      </c>
      <c r="G27" s="505">
        <v>50476.173000000003</v>
      </c>
      <c r="H27" s="505">
        <v>48736.209999999992</v>
      </c>
      <c r="I27" s="506">
        <v>40491.716999999997</v>
      </c>
      <c r="J27" s="506">
        <v>48665.409000000007</v>
      </c>
      <c r="K27" s="507">
        <v>52491.254000000001</v>
      </c>
      <c r="L27" s="505">
        <v>53462</v>
      </c>
      <c r="M27" s="506">
        <v>52371</v>
      </c>
      <c r="N27" s="506">
        <v>46634</v>
      </c>
      <c r="O27" s="508">
        <v>42224</v>
      </c>
      <c r="P27" s="508">
        <v>43972</v>
      </c>
      <c r="Q27" s="23"/>
      <c r="R27" s="1"/>
      <c r="S27" s="1"/>
      <c r="T27" s="1"/>
      <c r="U27" s="1"/>
    </row>
    <row r="28" spans="1:21" x14ac:dyDescent="0.25">
      <c r="A28" s="509"/>
      <c r="B28" s="510"/>
      <c r="C28" s="510"/>
      <c r="D28" s="30"/>
      <c r="E28" s="28">
        <v>0</v>
      </c>
      <c r="F28" s="28"/>
      <c r="G28" s="28"/>
      <c r="H28" s="28"/>
      <c r="I28" s="239"/>
      <c r="J28" s="239">
        <v>0</v>
      </c>
      <c r="K28" s="511"/>
      <c r="L28" s="28"/>
      <c r="M28" s="29"/>
      <c r="N28" s="29"/>
      <c r="O28" s="193"/>
      <c r="P28" s="193"/>
      <c r="Q28" s="23"/>
      <c r="R28" s="1"/>
      <c r="S28" s="1"/>
      <c r="T28" s="1"/>
      <c r="U28" s="1"/>
    </row>
    <row r="29" spans="1:21" x14ac:dyDescent="0.25">
      <c r="A29" s="5" t="s">
        <v>97</v>
      </c>
      <c r="B29" s="233"/>
      <c r="C29" s="233"/>
      <c r="D29" s="30">
        <v>20194.629999999997</v>
      </c>
      <c r="E29" s="28">
        <v>30918.830999999998</v>
      </c>
      <c r="F29" s="28">
        <v>15619.737999999999</v>
      </c>
      <c r="G29" s="28">
        <v>37469.502</v>
      </c>
      <c r="H29" s="28">
        <v>35044.1</v>
      </c>
      <c r="I29" s="239">
        <v>26733.414000000001</v>
      </c>
      <c r="J29" s="239">
        <v>33122.177000000003</v>
      </c>
      <c r="K29" s="511">
        <v>41411.892999999996</v>
      </c>
      <c r="L29" s="28">
        <v>45075</v>
      </c>
      <c r="M29" s="29">
        <v>35275</v>
      </c>
      <c r="N29" s="29">
        <v>30261</v>
      </c>
      <c r="O29" s="193">
        <v>34074</v>
      </c>
      <c r="P29" s="193">
        <v>36282</v>
      </c>
      <c r="Q29" s="23"/>
      <c r="R29" s="1"/>
      <c r="S29" s="1"/>
      <c r="T29" s="1"/>
      <c r="U29" s="1"/>
    </row>
    <row r="30" spans="1:21" x14ac:dyDescent="0.25">
      <c r="A30" s="512"/>
      <c r="B30" s="513" t="s">
        <v>127</v>
      </c>
      <c r="C30" s="513"/>
      <c r="D30" s="64">
        <v>-885.31399999999996</v>
      </c>
      <c r="E30" s="64">
        <v>-816.279</v>
      </c>
      <c r="F30" s="64">
        <v>-214.208</v>
      </c>
      <c r="G30" s="64">
        <v>-442.589</v>
      </c>
      <c r="H30" s="64">
        <v>-428.077</v>
      </c>
      <c r="I30" s="240">
        <v>-296.14800000000002</v>
      </c>
      <c r="J30" s="240">
        <v>-345.70400000000001</v>
      </c>
      <c r="K30" s="514">
        <v>-481.48599999999999</v>
      </c>
      <c r="L30" s="64">
        <v>-309</v>
      </c>
      <c r="M30" s="568">
        <v>-208</v>
      </c>
      <c r="N30" s="568">
        <v>-170</v>
      </c>
      <c r="O30" s="194">
        <v>-301</v>
      </c>
      <c r="P30" s="194">
        <v>-330</v>
      </c>
      <c r="Q30" s="23"/>
      <c r="R30" s="1"/>
      <c r="S30" s="1"/>
      <c r="T30" s="1"/>
      <c r="U30" s="1"/>
    </row>
    <row r="31" spans="1:21" x14ac:dyDescent="0.25">
      <c r="A31" s="5"/>
      <c r="B31" s="233" t="s">
        <v>101</v>
      </c>
      <c r="C31" s="233"/>
      <c r="D31" s="27">
        <v>19309.315999999999</v>
      </c>
      <c r="E31" s="28">
        <v>30102.552</v>
      </c>
      <c r="F31" s="28">
        <v>15405.529999999999</v>
      </c>
      <c r="G31" s="28">
        <v>37026.913</v>
      </c>
      <c r="H31" s="28">
        <v>34616.023000000001</v>
      </c>
      <c r="I31" s="239">
        <v>26437.266</v>
      </c>
      <c r="J31" s="239">
        <v>32776.473000000005</v>
      </c>
      <c r="K31" s="239">
        <v>40930.406999999999</v>
      </c>
      <c r="L31" s="28">
        <v>44766</v>
      </c>
      <c r="M31" s="29">
        <v>35067</v>
      </c>
      <c r="N31" s="29">
        <f>N29+N30</f>
        <v>30091</v>
      </c>
      <c r="O31" s="193">
        <f>O29+O30</f>
        <v>33773</v>
      </c>
      <c r="P31" s="193">
        <f>P29+P30</f>
        <v>35952</v>
      </c>
      <c r="Q31" s="23"/>
      <c r="R31" s="1"/>
      <c r="S31" s="1"/>
      <c r="T31" s="1"/>
      <c r="U31" s="1"/>
    </row>
    <row r="32" spans="1:21" x14ac:dyDescent="0.25">
      <c r="A32" s="5"/>
      <c r="B32" s="233"/>
      <c r="C32" s="233"/>
      <c r="D32" s="27"/>
      <c r="E32" s="28"/>
      <c r="F32" s="28"/>
      <c r="G32" s="28"/>
      <c r="H32" s="28"/>
      <c r="I32" s="239"/>
      <c r="J32" s="239"/>
      <c r="K32" s="511"/>
      <c r="L32" s="28"/>
      <c r="M32" s="29"/>
      <c r="N32" s="29"/>
      <c r="O32" s="193"/>
      <c r="P32" s="193"/>
      <c r="Q32" s="23"/>
      <c r="R32" s="1"/>
      <c r="S32" s="1"/>
      <c r="T32" s="1"/>
      <c r="U32" s="1"/>
    </row>
    <row r="33" spans="1:21" x14ac:dyDescent="0.25">
      <c r="A33" s="5" t="s">
        <v>98</v>
      </c>
      <c r="B33" s="233"/>
      <c r="C33" s="233"/>
      <c r="D33" s="27">
        <v>7473.165</v>
      </c>
      <c r="E33" s="28">
        <v>793.20399999999995</v>
      </c>
      <c r="F33" s="28">
        <v>4426.5310000000009</v>
      </c>
      <c r="G33" s="28">
        <v>10375.825000000001</v>
      </c>
      <c r="H33" s="28">
        <v>11055.985000000001</v>
      </c>
      <c r="I33" s="239">
        <v>11061.331</v>
      </c>
      <c r="J33" s="239">
        <v>12809.675000000001</v>
      </c>
      <c r="K33" s="511">
        <v>8505.6730000000007</v>
      </c>
      <c r="L33" s="28">
        <v>5753</v>
      </c>
      <c r="M33" s="29">
        <v>14495</v>
      </c>
      <c r="N33" s="29">
        <v>13917</v>
      </c>
      <c r="O33" s="193">
        <v>3022</v>
      </c>
      <c r="P33" s="193">
        <v>2056</v>
      </c>
      <c r="Q33" s="23"/>
      <c r="R33" s="1"/>
      <c r="S33" s="1"/>
      <c r="T33" s="1"/>
      <c r="U33" s="1"/>
    </row>
    <row r="34" spans="1:21" x14ac:dyDescent="0.25">
      <c r="A34" s="512"/>
      <c r="B34" s="513" t="s">
        <v>127</v>
      </c>
      <c r="C34" s="513"/>
      <c r="D34" s="64">
        <v>-541.59100000000001</v>
      </c>
      <c r="E34" s="64">
        <v>-26.426133589514649</v>
      </c>
      <c r="F34" s="64">
        <v>-89.795000000000002</v>
      </c>
      <c r="G34" s="64">
        <v>-127.197</v>
      </c>
      <c r="H34" s="64">
        <v>-156.346</v>
      </c>
      <c r="I34" s="240">
        <v>-184.78100000000001</v>
      </c>
      <c r="J34" s="240">
        <v>-220.869</v>
      </c>
      <c r="K34" s="514">
        <v>-134.79300000000001</v>
      </c>
      <c r="L34" s="64">
        <v>-66</v>
      </c>
      <c r="M34" s="568">
        <v>-196</v>
      </c>
      <c r="N34" s="568">
        <v>-390</v>
      </c>
      <c r="O34" s="194">
        <v>-37</v>
      </c>
      <c r="P34" s="194">
        <v>-53</v>
      </c>
      <c r="Q34" s="23"/>
      <c r="R34" s="1"/>
      <c r="S34" s="1"/>
      <c r="T34" s="1"/>
      <c r="U34" s="1"/>
    </row>
    <row r="35" spans="1:21" x14ac:dyDescent="0.25">
      <c r="A35" s="5"/>
      <c r="B35" s="233" t="s">
        <v>101</v>
      </c>
      <c r="C35" s="233"/>
      <c r="D35" s="27">
        <v>6931.5739999999996</v>
      </c>
      <c r="E35" s="28">
        <v>766.77786641048533</v>
      </c>
      <c r="F35" s="28">
        <v>4336.7360000000008</v>
      </c>
      <c r="G35" s="28">
        <v>10248.628000000001</v>
      </c>
      <c r="H35" s="28">
        <v>10899.639000000001</v>
      </c>
      <c r="I35" s="239">
        <v>10876.55</v>
      </c>
      <c r="J35" s="239">
        <v>12588.806</v>
      </c>
      <c r="K35" s="239">
        <v>8370.880000000001</v>
      </c>
      <c r="L35" s="28">
        <v>5687</v>
      </c>
      <c r="M35" s="29">
        <v>14299</v>
      </c>
      <c r="N35" s="29">
        <f t="shared" ref="N35:O35" si="4">N33+N34</f>
        <v>13527</v>
      </c>
      <c r="O35" s="193">
        <f t="shared" si="4"/>
        <v>2985</v>
      </c>
      <c r="P35" s="193">
        <f t="shared" ref="P35" si="5">P33+P34</f>
        <v>2003</v>
      </c>
      <c r="Q35" s="23"/>
      <c r="R35" s="1"/>
      <c r="S35" s="1"/>
      <c r="T35" s="1"/>
      <c r="U35" s="1"/>
    </row>
    <row r="36" spans="1:21" x14ac:dyDescent="0.25">
      <c r="A36" s="5"/>
      <c r="B36" s="233"/>
      <c r="C36" s="233"/>
      <c r="D36" s="27"/>
      <c r="E36" s="28"/>
      <c r="F36" s="28"/>
      <c r="G36" s="28"/>
      <c r="H36" s="28"/>
      <c r="I36" s="239"/>
      <c r="J36" s="239"/>
      <c r="K36" s="511"/>
      <c r="L36" s="28"/>
      <c r="M36" s="29"/>
      <c r="N36" s="29"/>
      <c r="O36" s="193"/>
      <c r="P36" s="193"/>
      <c r="Q36" s="23"/>
      <c r="R36" s="1"/>
      <c r="S36" s="1"/>
      <c r="T36" s="1"/>
      <c r="U36" s="1"/>
    </row>
    <row r="37" spans="1:21" x14ac:dyDescent="0.25">
      <c r="A37" s="5" t="s">
        <v>99</v>
      </c>
      <c r="B37" s="233"/>
      <c r="C37" s="233"/>
      <c r="D37" s="27">
        <v>2622.5320000000002</v>
      </c>
      <c r="E37" s="28">
        <v>3046.5070000000001</v>
      </c>
      <c r="F37" s="28">
        <v>3052.6409999999996</v>
      </c>
      <c r="G37" s="27">
        <v>2630.846</v>
      </c>
      <c r="H37" s="28">
        <v>2636.125</v>
      </c>
      <c r="I37" s="239">
        <v>2696.6210000000001</v>
      </c>
      <c r="J37" s="239">
        <v>2733.5569999999998</v>
      </c>
      <c r="K37" s="511">
        <v>2573.6880000000001</v>
      </c>
      <c r="L37" s="28">
        <v>2634</v>
      </c>
      <c r="M37" s="29">
        <v>2601</v>
      </c>
      <c r="N37" s="29">
        <v>2456</v>
      </c>
      <c r="O37" s="193">
        <v>5128</v>
      </c>
      <c r="P37" s="193">
        <v>5634</v>
      </c>
      <c r="Q37" s="23"/>
      <c r="R37" s="1"/>
      <c r="S37" s="1"/>
      <c r="T37" s="1"/>
      <c r="U37" s="1"/>
    </row>
    <row r="38" spans="1:21" x14ac:dyDescent="0.25">
      <c r="A38" s="512"/>
      <c r="B38" s="513" t="s">
        <v>127</v>
      </c>
      <c r="C38" s="513"/>
      <c r="D38" s="64">
        <v>-2317.0540000000001</v>
      </c>
      <c r="E38" s="64">
        <v>-2294.8148969049194</v>
      </c>
      <c r="F38" s="64">
        <v>-2535.9720000000002</v>
      </c>
      <c r="G38" s="64">
        <v>-2321.7220000000002</v>
      </c>
      <c r="H38" s="64">
        <v>-2326.3380000000002</v>
      </c>
      <c r="I38" s="240">
        <v>-2466.4760000000001</v>
      </c>
      <c r="J38" s="240">
        <v>-2561.8989999999999</v>
      </c>
      <c r="K38" s="514">
        <v>-2533.3229999999999</v>
      </c>
      <c r="L38" s="64">
        <v>-2420</v>
      </c>
      <c r="M38" s="568">
        <v>-2403</v>
      </c>
      <c r="N38" s="568">
        <v>-2296</v>
      </c>
      <c r="O38" s="194">
        <v>-4042</v>
      </c>
      <c r="P38" s="194">
        <v>-4349</v>
      </c>
      <c r="Q38" s="23"/>
      <c r="R38" s="1"/>
      <c r="S38" s="1"/>
      <c r="T38" s="1"/>
      <c r="U38" s="1"/>
    </row>
    <row r="39" spans="1:21" x14ac:dyDescent="0.25">
      <c r="A39" s="5"/>
      <c r="B39" s="233" t="s">
        <v>101</v>
      </c>
      <c r="C39" s="233"/>
      <c r="D39" s="27">
        <v>305.47800000000007</v>
      </c>
      <c r="E39" s="28">
        <v>751.69210309508071</v>
      </c>
      <c r="F39" s="28">
        <v>516.66899999999941</v>
      </c>
      <c r="G39" s="28">
        <v>309.1239999999998</v>
      </c>
      <c r="H39" s="28">
        <v>309.78699999999981</v>
      </c>
      <c r="I39" s="239">
        <v>230.14499999999998</v>
      </c>
      <c r="J39" s="239">
        <v>171.6579999999999</v>
      </c>
      <c r="K39" s="239">
        <v>40.365000000000236</v>
      </c>
      <c r="L39" s="28">
        <v>214</v>
      </c>
      <c r="M39" s="29">
        <v>198</v>
      </c>
      <c r="N39" s="29">
        <f t="shared" ref="N39:O39" si="6">N37+N38</f>
        <v>160</v>
      </c>
      <c r="O39" s="193">
        <f t="shared" si="6"/>
        <v>1086</v>
      </c>
      <c r="P39" s="193">
        <f t="shared" ref="P39" si="7">P37+P38</f>
        <v>1285</v>
      </c>
      <c r="Q39" s="23"/>
      <c r="R39" s="1"/>
      <c r="S39" s="1"/>
      <c r="T39" s="1"/>
      <c r="U39" s="1"/>
    </row>
    <row r="40" spans="1:21" x14ac:dyDescent="0.25">
      <c r="A40" s="5"/>
      <c r="B40" s="233"/>
      <c r="C40" s="233"/>
      <c r="D40" s="27"/>
      <c r="E40" s="28"/>
      <c r="F40" s="28"/>
      <c r="G40" s="28"/>
      <c r="H40" s="28"/>
      <c r="I40" s="239"/>
      <c r="J40" s="239"/>
      <c r="K40" s="511"/>
      <c r="L40" s="28"/>
      <c r="M40" s="29"/>
      <c r="N40" s="29"/>
      <c r="O40" s="193"/>
      <c r="P40" s="193"/>
      <c r="Q40" s="23"/>
      <c r="R40" s="1"/>
      <c r="S40" s="1"/>
      <c r="T40" s="1"/>
      <c r="U40" s="1"/>
    </row>
    <row r="41" spans="1:21" x14ac:dyDescent="0.25">
      <c r="A41" s="5" t="s">
        <v>102</v>
      </c>
      <c r="B41" s="233"/>
      <c r="C41" s="233"/>
      <c r="D41" s="27">
        <v>30290.326999999997</v>
      </c>
      <c r="E41" s="28">
        <v>34758.542000000001</v>
      </c>
      <c r="F41" s="28">
        <v>23098.91</v>
      </c>
      <c r="G41" s="28">
        <v>50476.173000000003</v>
      </c>
      <c r="H41" s="28">
        <v>48736.21</v>
      </c>
      <c r="I41" s="239">
        <v>40491.366000000002</v>
      </c>
      <c r="J41" s="239">
        <v>48665.409000000007</v>
      </c>
      <c r="K41" s="511">
        <v>52491.254000000001</v>
      </c>
      <c r="L41" s="28">
        <v>53462</v>
      </c>
      <c r="M41" s="29">
        <v>52371</v>
      </c>
      <c r="N41" s="29">
        <f t="shared" ref="N41:O41" si="8">N29+N33+N37</f>
        <v>46634</v>
      </c>
      <c r="O41" s="193">
        <f t="shared" si="8"/>
        <v>42224</v>
      </c>
      <c r="P41" s="193">
        <f t="shared" ref="P41" si="9">P29+P33+P37</f>
        <v>43972</v>
      </c>
      <c r="Q41" s="23"/>
      <c r="R41" s="1"/>
      <c r="S41" s="1"/>
      <c r="T41" s="1"/>
      <c r="U41" s="1"/>
    </row>
    <row r="42" spans="1:21" x14ac:dyDescent="0.25">
      <c r="A42" s="516"/>
      <c r="B42" s="517" t="s">
        <v>127</v>
      </c>
      <c r="C42" s="517"/>
      <c r="D42" s="519">
        <v>-3743.9589999999998</v>
      </c>
      <c r="E42" s="519">
        <v>-3137.5200304944337</v>
      </c>
      <c r="F42" s="519">
        <v>-2839.9750000000004</v>
      </c>
      <c r="G42" s="519">
        <v>-2891.5080000000003</v>
      </c>
      <c r="H42" s="519">
        <v>-2910.7610000000004</v>
      </c>
      <c r="I42" s="520">
        <v>-2947.4050000000002</v>
      </c>
      <c r="J42" s="520">
        <v>-3128.4719999999998</v>
      </c>
      <c r="K42" s="520">
        <v>-3149.6019999999999</v>
      </c>
      <c r="L42" s="519">
        <v>-2795</v>
      </c>
      <c r="M42" s="569">
        <v>-2807</v>
      </c>
      <c r="N42" s="569">
        <f>N30+N34+N38</f>
        <v>-2856</v>
      </c>
      <c r="O42" s="521">
        <f>O30+O34+O38</f>
        <v>-4380</v>
      </c>
      <c r="P42" s="521">
        <f>P30+P34+P38</f>
        <v>-4732</v>
      </c>
      <c r="Q42" s="23"/>
      <c r="R42" s="1"/>
      <c r="S42" s="1"/>
      <c r="T42" s="1"/>
      <c r="U42" s="1"/>
    </row>
    <row r="43" spans="1:21" x14ac:dyDescent="0.25">
      <c r="A43" s="522"/>
      <c r="B43" s="523" t="s">
        <v>101</v>
      </c>
      <c r="C43" s="523"/>
      <c r="D43" s="525">
        <v>26546.367999999999</v>
      </c>
      <c r="E43" s="525">
        <v>31621.021969505564</v>
      </c>
      <c r="F43" s="525">
        <v>20258.934999999998</v>
      </c>
      <c r="G43" s="525">
        <v>47584.665000000001</v>
      </c>
      <c r="H43" s="525">
        <v>45825.449000000001</v>
      </c>
      <c r="I43" s="526">
        <v>37543.960999999996</v>
      </c>
      <c r="J43" s="526">
        <v>45536.937000000005</v>
      </c>
      <c r="K43" s="526">
        <v>49341.652000000002</v>
      </c>
      <c r="L43" s="525">
        <v>50667</v>
      </c>
      <c r="M43" s="526">
        <v>49564</v>
      </c>
      <c r="N43" s="526">
        <f t="shared" ref="N43:O43" si="10">N39+N35+N31</f>
        <v>43778</v>
      </c>
      <c r="O43" s="527">
        <f t="shared" si="10"/>
        <v>37844</v>
      </c>
      <c r="P43" s="527">
        <f t="shared" ref="P43" si="11">P39+P35+P31</f>
        <v>39240</v>
      </c>
      <c r="Q43" s="23"/>
      <c r="R43" s="1"/>
      <c r="S43" s="1"/>
      <c r="T43" s="1"/>
      <c r="U43" s="1"/>
    </row>
    <row r="44" spans="1:21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x14ac:dyDescent="0.25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x14ac:dyDescent="0.25">
      <c r="E46" s="20"/>
      <c r="F46" s="20"/>
      <c r="G46" s="20"/>
      <c r="H46" s="20"/>
      <c r="I46" s="20"/>
      <c r="J46" s="20"/>
      <c r="K46" s="16"/>
      <c r="L46" s="20"/>
      <c r="M46" s="20"/>
      <c r="N46" s="20"/>
      <c r="O46" s="20"/>
      <c r="P46" s="20"/>
    </row>
    <row r="47" spans="1:21" x14ac:dyDescent="0.25">
      <c r="E47" s="21"/>
      <c r="F47" s="21"/>
      <c r="G47" s="21"/>
      <c r="H47" s="21"/>
      <c r="I47" s="21"/>
      <c r="J47" s="21"/>
      <c r="K47" s="16"/>
      <c r="L47" s="21"/>
      <c r="M47" s="21"/>
      <c r="N47" s="21"/>
      <c r="O47" s="21"/>
      <c r="P47" s="21"/>
    </row>
    <row r="48" spans="1:21" x14ac:dyDescent="0.25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4:16" x14ac:dyDescent="0.25"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</sheetData>
  <mergeCells count="2">
    <mergeCell ref="H2:K2"/>
    <mergeCell ref="L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BS</vt:lpstr>
      <vt:lpstr>PL накопленные данные</vt:lpstr>
      <vt:lpstr>PL по кварталам</vt:lpstr>
      <vt:lpstr>Показатели эффективности</vt:lpstr>
      <vt:lpstr>Качество портфеля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Клементьев Максим Сергеевич</cp:lastModifiedBy>
  <cp:lastPrinted>2026-03-02T14:31:22Z</cp:lastPrinted>
  <dcterms:created xsi:type="dcterms:W3CDTF">2024-12-13T07:45:12Z</dcterms:created>
  <dcterms:modified xsi:type="dcterms:W3CDTF">2026-05-18T12:51:52Z</dcterms:modified>
</cp:coreProperties>
</file>